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EVECO\Beräkningsprogram\"/>
    </mc:Choice>
  </mc:AlternateContent>
  <xr:revisionPtr revIDLastSave="0" documentId="13_ncr:1_{B7C9FCB0-9239-434D-BED6-257DC1376049}" xr6:coauthVersionLast="47" xr6:coauthVersionMax="47" xr10:uidLastSave="{00000000-0000-0000-0000-000000000000}"/>
  <bookViews>
    <workbookView xWindow="28680" yWindow="-120" windowWidth="29040" windowHeight="17640" tabRatio="502" xr2:uid="{00000000-000D-0000-FFFF-FFFF00000000}"/>
  </bookViews>
  <sheets>
    <sheet name="Luftvärmare" sheetId="1" r:id="rId1"/>
  </sheets>
  <definedNames>
    <definedName name="_xlnm.Print_Area" localSheetId="0">Luftvärmare!$A$1:$G$59</definedName>
    <definedName name="Z_2741D09E_1555_4F14_A84E_F0684F5AEE30_.wvu.PrintArea" localSheetId="0" hidden="1">Luftvärmare!$A$1:$G$73</definedName>
    <definedName name="Z_616206E2_999C_4AE1_99F3_EE35B54176B3_.wvu.PrintArea" localSheetId="0" hidden="1">Luftvärmare!$A$1:$G$73</definedName>
  </definedNames>
  <calcPr calcId="191029"/>
  <customWorkbookViews>
    <customWorkbookView name="Henrik Ottosson - Personlig vy" guid="{616206E2-999C-4AE1-99F3-EE35B54176B3}" mergeInterval="0" personalView="1" maximized="1" windowWidth="1276" windowHeight="835" activeSheetId="1"/>
    <customWorkbookView name="Ola - Personlig vy" guid="{2741D09E-1555-4F14-A84E-F0684F5AEE30}" mergeInterval="0" personalView="1" maximized="1" windowWidth="1020" windowHeight="5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H20" i="1"/>
  <c r="F20" i="1"/>
  <c r="D20" i="1"/>
  <c r="C20" i="1"/>
  <c r="C21" i="1"/>
  <c r="C22" i="1"/>
  <c r="C23" i="1"/>
  <c r="C24" i="1"/>
  <c r="C25" i="1"/>
  <c r="C26" i="1"/>
  <c r="C27" i="1"/>
  <c r="C28" i="1"/>
  <c r="C29" i="1"/>
  <c r="H21" i="1"/>
  <c r="H22" i="1"/>
  <c r="H23" i="1"/>
  <c r="H24" i="1"/>
  <c r="H25" i="1"/>
  <c r="H26" i="1"/>
  <c r="H27" i="1"/>
  <c r="H28" i="1"/>
  <c r="H29" i="1"/>
  <c r="F21" i="1"/>
  <c r="F22" i="1"/>
  <c r="F23" i="1"/>
  <c r="F24" i="1"/>
  <c r="F25" i="1"/>
  <c r="F26" i="1"/>
  <c r="F27" i="1"/>
  <c r="F28" i="1"/>
  <c r="F29" i="1"/>
  <c r="D21" i="1"/>
  <c r="D22" i="1"/>
  <c r="D23" i="1"/>
  <c r="D24" i="1"/>
  <c r="D25" i="1"/>
  <c r="D26" i="1"/>
  <c r="D27" i="1"/>
  <c r="D28" i="1"/>
  <c r="D29" i="1"/>
  <c r="J36" i="1"/>
  <c r="H36" i="1"/>
  <c r="F36" i="1"/>
  <c r="D36" i="1"/>
  <c r="C36" i="1"/>
  <c r="C35" i="1"/>
  <c r="H32" i="1"/>
  <c r="F32" i="1"/>
  <c r="D32" i="1"/>
  <c r="C32" i="1"/>
  <c r="D51" i="1"/>
  <c r="C51" i="1"/>
  <c r="D52" i="1"/>
  <c r="C52" i="1"/>
  <c r="D48" i="1"/>
  <c r="C48" i="1"/>
  <c r="D53" i="1"/>
  <c r="C53" i="1"/>
  <c r="D50" i="1"/>
  <c r="C50" i="1"/>
  <c r="D49" i="1"/>
  <c r="D47" i="1"/>
  <c r="C49" i="1"/>
  <c r="C47" i="1"/>
  <c r="D45" i="1"/>
  <c r="C45" i="1"/>
  <c r="C43" i="1"/>
  <c r="D43" i="1"/>
  <c r="D42" i="1"/>
  <c r="C42" i="1"/>
  <c r="N107" i="1" l="1"/>
  <c r="N106" i="1"/>
  <c r="L106" i="1"/>
  <c r="L107" i="1"/>
  <c r="J107" i="1"/>
  <c r="J106" i="1"/>
  <c r="C122" i="1"/>
  <c r="J16" i="1" l="1"/>
  <c r="I16" i="1"/>
  <c r="H16" i="1"/>
  <c r="C16" i="1"/>
  <c r="N18" i="1" s="1"/>
  <c r="AF93" i="1"/>
  <c r="AG93" i="1" s="1"/>
  <c r="AH93" i="1" s="1"/>
  <c r="AI93" i="1" s="1"/>
  <c r="AJ93" i="1" s="1"/>
  <c r="AK93" i="1" s="1"/>
  <c r="AL93" i="1" s="1"/>
  <c r="AM93" i="1" s="1"/>
  <c r="AN93" i="1" s="1"/>
  <c r="AO93" i="1" s="1"/>
  <c r="AP93" i="1" s="1"/>
  <c r="AQ93" i="1" s="1"/>
  <c r="AR93" i="1" s="1"/>
  <c r="AS93" i="1" s="1"/>
  <c r="AT93" i="1" s="1"/>
  <c r="AU93" i="1" s="1"/>
  <c r="AV93" i="1" s="1"/>
  <c r="AW93" i="1" s="1"/>
  <c r="AX93" i="1" s="1"/>
  <c r="AY93" i="1" s="1"/>
  <c r="AZ93" i="1" s="1"/>
  <c r="BA93" i="1" s="1"/>
  <c r="BB93" i="1" s="1"/>
  <c r="BC93" i="1" s="1"/>
  <c r="BD93" i="1" s="1"/>
  <c r="BE93" i="1" s="1"/>
  <c r="BF93" i="1" s="1"/>
  <c r="BG93" i="1" s="1"/>
  <c r="BH93" i="1" s="1"/>
  <c r="BI93" i="1" s="1"/>
  <c r="BJ93" i="1" s="1"/>
  <c r="BK93" i="1" s="1"/>
  <c r="BL93" i="1" s="1"/>
  <c r="BM93" i="1" s="1"/>
  <c r="BN93" i="1" s="1"/>
  <c r="BO93" i="1" s="1"/>
  <c r="BP93" i="1" s="1"/>
  <c r="BQ93" i="1" s="1"/>
  <c r="BR93" i="1" s="1"/>
  <c r="BS93" i="1" s="1"/>
  <c r="BT93" i="1" s="1"/>
  <c r="BU93" i="1" s="1"/>
  <c r="BV93" i="1" s="1"/>
  <c r="BW93" i="1" s="1"/>
  <c r="BX93" i="1" s="1"/>
  <c r="BY93" i="1" s="1"/>
  <c r="BZ93" i="1" s="1"/>
  <c r="CA93" i="1" s="1"/>
  <c r="CB93" i="1" s="1"/>
  <c r="CC93" i="1" s="1"/>
  <c r="CD93" i="1" s="1"/>
  <c r="CE93" i="1" s="1"/>
  <c r="CF93" i="1" s="1"/>
  <c r="CG93" i="1" s="1"/>
  <c r="CH93" i="1" s="1"/>
  <c r="CI93" i="1" s="1"/>
  <c r="CJ93" i="1" s="1"/>
  <c r="CK93" i="1" s="1"/>
  <c r="CL93" i="1" s="1"/>
  <c r="CM93" i="1" s="1"/>
  <c r="CN93" i="1" s="1"/>
  <c r="CO93" i="1" s="1"/>
  <c r="CP93" i="1" s="1"/>
  <c r="CQ93" i="1" s="1"/>
  <c r="CR93" i="1" s="1"/>
  <c r="CS93" i="1" s="1"/>
  <c r="CT93" i="1" s="1"/>
  <c r="CU93" i="1" s="1"/>
  <c r="CV93" i="1" s="1"/>
  <c r="CW93" i="1" s="1"/>
  <c r="CX93" i="1" s="1"/>
  <c r="CY93" i="1" s="1"/>
  <c r="CZ93" i="1" s="1"/>
  <c r="DA93" i="1" s="1"/>
  <c r="DB93" i="1" s="1"/>
  <c r="DC93" i="1" s="1"/>
  <c r="DD93" i="1" s="1"/>
  <c r="DE93" i="1" s="1"/>
  <c r="DF93" i="1" s="1"/>
  <c r="DG93" i="1" s="1"/>
  <c r="DH93" i="1" s="1"/>
  <c r="DI93" i="1" s="1"/>
  <c r="DJ93" i="1" s="1"/>
  <c r="DK93" i="1" s="1"/>
  <c r="DL93" i="1" s="1"/>
  <c r="D16" i="1"/>
  <c r="E16" i="1"/>
  <c r="F16" i="1"/>
  <c r="G16" i="1"/>
  <c r="F91" i="1"/>
  <c r="C13" i="1"/>
  <c r="N134" i="1"/>
  <c r="J138" i="1"/>
  <c r="N140" i="1"/>
  <c r="N215" i="1"/>
  <c r="N131" i="1"/>
  <c r="CS97" i="1"/>
  <c r="CT97" i="1"/>
  <c r="CS101" i="1"/>
  <c r="CT101" i="1"/>
  <c r="CS102" i="1"/>
  <c r="CT102" i="1"/>
  <c r="N153" i="1"/>
  <c r="N145" i="1"/>
  <c r="N160" i="1"/>
  <c r="N179" i="1"/>
  <c r="N169" i="1"/>
  <c r="N139" i="1"/>
  <c r="G33" i="1"/>
  <c r="F33" i="1"/>
  <c r="E33" i="1"/>
  <c r="D33" i="1"/>
  <c r="C33" i="1"/>
  <c r="F47" i="1"/>
  <c r="N181" i="1"/>
  <c r="C34" i="1"/>
  <c r="C31" i="1"/>
  <c r="CS98" i="1"/>
  <c r="CT98" i="1"/>
  <c r="CS103" i="1"/>
  <c r="CT103" i="1"/>
  <c r="CS106" i="1"/>
  <c r="CT106" i="1"/>
  <c r="CS107" i="1"/>
  <c r="CT107" i="1"/>
  <c r="CS108" i="1"/>
  <c r="CT108" i="1"/>
  <c r="N123" i="1"/>
  <c r="N124" i="1"/>
  <c r="I125" i="1"/>
  <c r="N125" i="1"/>
  <c r="I126" i="1"/>
  <c r="N126" i="1"/>
  <c r="I127" i="1"/>
  <c r="I128" i="1"/>
  <c r="N128" i="1"/>
  <c r="N129" i="1"/>
  <c r="I130" i="1"/>
  <c r="J130" i="1"/>
  <c r="N130" i="1"/>
  <c r="I131" i="1"/>
  <c r="J131" i="1"/>
  <c r="I132" i="1"/>
  <c r="J132" i="1"/>
  <c r="I133" i="1"/>
  <c r="J133" i="1"/>
  <c r="N133" i="1"/>
  <c r="I135" i="1"/>
  <c r="J135" i="1"/>
  <c r="N135" i="1"/>
  <c r="I136" i="1"/>
  <c r="J136" i="1"/>
  <c r="N136" i="1"/>
  <c r="I137" i="1"/>
  <c r="J137" i="1"/>
  <c r="I138" i="1"/>
  <c r="N138" i="1"/>
  <c r="I140" i="1"/>
  <c r="J140" i="1"/>
  <c r="K140" i="1"/>
  <c r="I141" i="1"/>
  <c r="J141" i="1"/>
  <c r="K141" i="1"/>
  <c r="N141" i="1"/>
  <c r="I142" i="1"/>
  <c r="J142" i="1"/>
  <c r="K142" i="1"/>
  <c r="I143" i="1"/>
  <c r="J143" i="1"/>
  <c r="K143" i="1"/>
  <c r="N143" i="1"/>
  <c r="N144" i="1"/>
  <c r="I145" i="1"/>
  <c r="J145" i="1"/>
  <c r="K145" i="1"/>
  <c r="I146" i="1"/>
  <c r="J146" i="1"/>
  <c r="K146" i="1"/>
  <c r="N146" i="1"/>
  <c r="I147" i="1"/>
  <c r="J147" i="1"/>
  <c r="K147" i="1"/>
  <c r="I148" i="1"/>
  <c r="J148" i="1"/>
  <c r="K148" i="1"/>
  <c r="N148" i="1"/>
  <c r="N149" i="1"/>
  <c r="I150" i="1"/>
  <c r="J150" i="1"/>
  <c r="K150" i="1"/>
  <c r="N150" i="1"/>
  <c r="I151" i="1"/>
  <c r="C17" i="1"/>
  <c r="J151" i="1"/>
  <c r="K151" i="1"/>
  <c r="N151" i="1"/>
  <c r="I152" i="1"/>
  <c r="J152" i="1"/>
  <c r="K152" i="1"/>
  <c r="I153" i="1"/>
  <c r="J153" i="1"/>
  <c r="K153" i="1"/>
  <c r="N154" i="1"/>
  <c r="I155" i="1"/>
  <c r="J155" i="1"/>
  <c r="K155" i="1"/>
  <c r="N155" i="1"/>
  <c r="I156" i="1"/>
  <c r="J156" i="1"/>
  <c r="K156" i="1"/>
  <c r="N156" i="1"/>
  <c r="I157" i="1"/>
  <c r="J157" i="1"/>
  <c r="K157" i="1"/>
  <c r="I158" i="1"/>
  <c r="J158" i="1"/>
  <c r="K158" i="1"/>
  <c r="N158" i="1"/>
  <c r="N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N163" i="1"/>
  <c r="N164" i="1"/>
  <c r="I165" i="1"/>
  <c r="J165" i="1"/>
  <c r="K165" i="1"/>
  <c r="N165" i="1"/>
  <c r="I166" i="1"/>
  <c r="J166" i="1"/>
  <c r="K166" i="1"/>
  <c r="I167" i="1"/>
  <c r="J167" i="1"/>
  <c r="K167" i="1"/>
  <c r="I168" i="1"/>
  <c r="J168" i="1"/>
  <c r="K168" i="1"/>
  <c r="N168" i="1"/>
  <c r="I170" i="1"/>
  <c r="J170" i="1"/>
  <c r="K170" i="1"/>
  <c r="N170" i="1"/>
  <c r="I171" i="1"/>
  <c r="J171" i="1"/>
  <c r="K171" i="1"/>
  <c r="N171" i="1"/>
  <c r="I172" i="1"/>
  <c r="J172" i="1"/>
  <c r="K172" i="1"/>
  <c r="I173" i="1"/>
  <c r="J173" i="1"/>
  <c r="K173" i="1"/>
  <c r="N173" i="1"/>
  <c r="N174" i="1"/>
  <c r="I175" i="1"/>
  <c r="J175" i="1"/>
  <c r="K175" i="1"/>
  <c r="N175" i="1"/>
  <c r="I176" i="1"/>
  <c r="J176" i="1"/>
  <c r="K176" i="1"/>
  <c r="N176" i="1"/>
  <c r="I177" i="1"/>
  <c r="J177" i="1"/>
  <c r="K177" i="1"/>
  <c r="I178" i="1"/>
  <c r="J178" i="1"/>
  <c r="K178" i="1"/>
  <c r="N178" i="1"/>
  <c r="I180" i="1"/>
  <c r="J180" i="1"/>
  <c r="K180" i="1"/>
  <c r="N180" i="1"/>
  <c r="I181" i="1"/>
  <c r="J181" i="1"/>
  <c r="K181" i="1"/>
  <c r="I182" i="1"/>
  <c r="J182" i="1"/>
  <c r="K182" i="1"/>
  <c r="I183" i="1"/>
  <c r="J183" i="1"/>
  <c r="K183" i="1"/>
  <c r="N183" i="1"/>
  <c r="N184" i="1"/>
  <c r="I185" i="1"/>
  <c r="J185" i="1"/>
  <c r="K185" i="1"/>
  <c r="N185" i="1"/>
  <c r="I186" i="1"/>
  <c r="J186" i="1"/>
  <c r="K186" i="1"/>
  <c r="N186" i="1"/>
  <c r="I187" i="1"/>
  <c r="J187" i="1"/>
  <c r="K187" i="1"/>
  <c r="I188" i="1"/>
  <c r="J188" i="1"/>
  <c r="K188" i="1"/>
  <c r="N188" i="1"/>
  <c r="N189" i="1"/>
  <c r="I190" i="1"/>
  <c r="J190" i="1"/>
  <c r="K190" i="1"/>
  <c r="N190" i="1"/>
  <c r="I191" i="1"/>
  <c r="J191" i="1"/>
  <c r="K191" i="1"/>
  <c r="N191" i="1"/>
  <c r="I192" i="1"/>
  <c r="J192" i="1"/>
  <c r="K192" i="1"/>
  <c r="I193" i="1"/>
  <c r="J193" i="1"/>
  <c r="K193" i="1"/>
  <c r="N193" i="1"/>
  <c r="N194" i="1"/>
  <c r="I195" i="1"/>
  <c r="J195" i="1"/>
  <c r="K195" i="1"/>
  <c r="N195" i="1"/>
  <c r="I196" i="1"/>
  <c r="J196" i="1"/>
  <c r="K196" i="1"/>
  <c r="N196" i="1"/>
  <c r="I197" i="1"/>
  <c r="J197" i="1"/>
  <c r="K197" i="1"/>
  <c r="I198" i="1"/>
  <c r="J198" i="1"/>
  <c r="K198" i="1"/>
  <c r="N198" i="1"/>
  <c r="N199" i="1"/>
  <c r="I200" i="1"/>
  <c r="J200" i="1"/>
  <c r="K200" i="1"/>
  <c r="N200" i="1"/>
  <c r="I201" i="1"/>
  <c r="J201" i="1"/>
  <c r="K201" i="1"/>
  <c r="N201" i="1"/>
  <c r="I202" i="1"/>
  <c r="J202" i="1"/>
  <c r="K202" i="1"/>
  <c r="I203" i="1"/>
  <c r="J203" i="1"/>
  <c r="K203" i="1"/>
  <c r="N203" i="1"/>
  <c r="N204" i="1"/>
  <c r="I205" i="1"/>
  <c r="J205" i="1"/>
  <c r="K205" i="1"/>
  <c r="N205" i="1"/>
  <c r="I206" i="1"/>
  <c r="J206" i="1"/>
  <c r="K206" i="1"/>
  <c r="N206" i="1"/>
  <c r="I207" i="1"/>
  <c r="J207" i="1"/>
  <c r="K207" i="1"/>
  <c r="I208" i="1"/>
  <c r="J208" i="1"/>
  <c r="K208" i="1"/>
  <c r="N208" i="1"/>
  <c r="N209" i="1"/>
  <c r="I210" i="1"/>
  <c r="J210" i="1"/>
  <c r="K210" i="1"/>
  <c r="N210" i="1"/>
  <c r="I211" i="1"/>
  <c r="J211" i="1"/>
  <c r="K211" i="1"/>
  <c r="N211" i="1"/>
  <c r="I212" i="1"/>
  <c r="J212" i="1"/>
  <c r="K212" i="1"/>
  <c r="I213" i="1"/>
  <c r="J213" i="1"/>
  <c r="K213" i="1"/>
  <c r="N213" i="1"/>
  <c r="N214" i="1"/>
  <c r="I215" i="1"/>
  <c r="J215" i="1"/>
  <c r="K215" i="1"/>
  <c r="I216" i="1"/>
  <c r="J216" i="1"/>
  <c r="K216" i="1"/>
  <c r="N216" i="1"/>
  <c r="I217" i="1"/>
  <c r="J217" i="1"/>
  <c r="K217" i="1"/>
  <c r="I218" i="1"/>
  <c r="J218" i="1"/>
  <c r="K218" i="1"/>
  <c r="N218" i="1"/>
  <c r="N219" i="1"/>
  <c r="J220" i="1"/>
  <c r="K220" i="1"/>
  <c r="N220" i="1"/>
  <c r="J221" i="1"/>
  <c r="K221" i="1"/>
  <c r="N221" i="1"/>
  <c r="J222" i="1"/>
  <c r="K222" i="1"/>
  <c r="J223" i="1"/>
  <c r="K223" i="1"/>
  <c r="N223" i="1"/>
  <c r="N224" i="1"/>
  <c r="J225" i="1"/>
  <c r="K225" i="1"/>
  <c r="N225" i="1"/>
  <c r="J226" i="1"/>
  <c r="K226" i="1"/>
  <c r="N226" i="1"/>
  <c r="J227" i="1"/>
  <c r="K227" i="1"/>
  <c r="J228" i="1"/>
  <c r="K228" i="1"/>
  <c r="N228" i="1"/>
  <c r="N229" i="1"/>
  <c r="N230" i="1"/>
  <c r="N231" i="1"/>
  <c r="F17" i="1" l="1"/>
  <c r="J17" i="1" s="1"/>
  <c r="E17" i="1"/>
  <c r="I17" i="1" s="1"/>
  <c r="D17" i="1"/>
  <c r="H17" i="1" s="1"/>
  <c r="G17" i="1"/>
  <c r="C19" i="1"/>
  <c r="C60" i="1" s="1"/>
  <c r="M18" i="1"/>
  <c r="C18" i="1"/>
  <c r="C30" i="1" l="1"/>
  <c r="E60" i="1"/>
  <c r="D60" i="1"/>
  <c r="J19" i="1"/>
  <c r="J18" i="1"/>
  <c r="G18" i="1"/>
  <c r="G19" i="1"/>
  <c r="E19" i="1"/>
  <c r="E18" i="1"/>
  <c r="F19" i="1"/>
  <c r="F30" i="1" s="1"/>
  <c r="F18" i="1"/>
  <c r="D19" i="1"/>
  <c r="D30" i="1" s="1"/>
  <c r="D18" i="1"/>
  <c r="I18" i="1" l="1"/>
  <c r="I19" i="1"/>
  <c r="H18" i="1"/>
  <c r="H19" i="1"/>
  <c r="H30" i="1" s="1"/>
</calcChain>
</file>

<file path=xl/sharedStrings.xml><?xml version="1.0" encoding="utf-8"?>
<sst xmlns="http://schemas.openxmlformats.org/spreadsheetml/2006/main" count="577" uniqueCount="250">
  <si>
    <t>Objekt</t>
  </si>
  <si>
    <t>Kund</t>
  </si>
  <si>
    <t>Modell</t>
  </si>
  <si>
    <t>Framledningstemp.</t>
  </si>
  <si>
    <t>°C</t>
  </si>
  <si>
    <t>Returledningstemp.</t>
  </si>
  <si>
    <t>Insugningstemperatur</t>
  </si>
  <si>
    <t>Fläktsteg</t>
  </si>
  <si>
    <t>Varvtal</t>
  </si>
  <si>
    <t>rpm</t>
  </si>
  <si>
    <t>Luftflöde</t>
  </si>
  <si>
    <t>m3/h</t>
  </si>
  <si>
    <t>Effekt</t>
  </si>
  <si>
    <t>kW</t>
  </si>
  <si>
    <t>Utblåsningstemperatur</t>
  </si>
  <si>
    <t>Vattenflöde</t>
  </si>
  <si>
    <t>l/h</t>
  </si>
  <si>
    <t>Tryckfall</t>
  </si>
  <si>
    <t>kPa</t>
  </si>
  <si>
    <t>Anslutningsdimension</t>
  </si>
  <si>
    <t>Vikt</t>
  </si>
  <si>
    <t>kg</t>
  </si>
  <si>
    <t>Vatteninnehåll</t>
  </si>
  <si>
    <t>l</t>
  </si>
  <si>
    <t>dB(A)</t>
  </si>
  <si>
    <t xml:space="preserve">     Effekt</t>
  </si>
  <si>
    <t>watt</t>
  </si>
  <si>
    <t xml:space="preserve">     Strömförbrukning</t>
  </si>
  <si>
    <t>amp.</t>
  </si>
  <si>
    <t>M3/h</t>
  </si>
  <si>
    <t>Kcal/h</t>
  </si>
  <si>
    <t>amp</t>
  </si>
  <si>
    <t>längd</t>
  </si>
  <si>
    <t>rörrader</t>
  </si>
  <si>
    <t>rörantal</t>
  </si>
  <si>
    <t>kretsar</t>
  </si>
  <si>
    <t>längd på</t>
  </si>
  <si>
    <t>antal</t>
  </si>
  <si>
    <t>GR SN.</t>
  </si>
  <si>
    <t>M SN</t>
  </si>
  <si>
    <t>Kl SN</t>
  </si>
  <si>
    <t>ST 4</t>
  </si>
  <si>
    <t>ST 3</t>
  </si>
  <si>
    <t>ST 2</t>
  </si>
  <si>
    <t>ST 1</t>
  </si>
  <si>
    <t>ansl.</t>
  </si>
  <si>
    <t>vikt</t>
  </si>
  <si>
    <t>dba7</t>
  </si>
  <si>
    <t>kastl.7</t>
  </si>
  <si>
    <t>pris sek</t>
  </si>
  <si>
    <t>kretsarna</t>
  </si>
  <si>
    <t>böjar</t>
  </si>
  <si>
    <t>3/4"/DN20</t>
  </si>
  <si>
    <t>-----</t>
  </si>
  <si>
    <t>Luftens värmekapacitiviteti kcal/m3</t>
  </si>
  <si>
    <t>korrektionsfaktor (Tw1 + Tw2)/2 - Tl1</t>
  </si>
  <si>
    <t>EFFEKTFAKTOR VID REDUC. LUFTMÄNGD</t>
  </si>
  <si>
    <t>ca.</t>
  </si>
  <si>
    <t>Delta T 10</t>
  </si>
  <si>
    <t>Delta T 20</t>
  </si>
  <si>
    <t>Delta T 40</t>
  </si>
  <si>
    <t>Ventilställdon</t>
  </si>
  <si>
    <t>Ventil 2vägs rak DN20</t>
  </si>
  <si>
    <t>VXRN20</t>
  </si>
  <si>
    <t>Tillbehör</t>
  </si>
  <si>
    <t>VV15.2</t>
  </si>
  <si>
    <t>VV20.2</t>
  </si>
  <si>
    <t>VV25.2</t>
  </si>
  <si>
    <t>VV32.2</t>
  </si>
  <si>
    <t>Reglerventil 2 vägs DN15 Kvs 3,5</t>
  </si>
  <si>
    <t>Reglerventil 2 vägs DN20 Kvs 3,5</t>
  </si>
  <si>
    <t>Reglerventil 2 vägs DN25 Kvs 3,5</t>
  </si>
  <si>
    <t>Reglerventil 2 vägs DN32 Kvs 4,1</t>
  </si>
  <si>
    <t>maxflöde 1600 l/h</t>
  </si>
  <si>
    <t>maxflöde 1850 l/h</t>
  </si>
  <si>
    <t>Smutsfilter DN20</t>
  </si>
  <si>
    <t>SMUTSF20</t>
  </si>
  <si>
    <t>Kulventil DN20</t>
  </si>
  <si>
    <t>KULV20</t>
  </si>
  <si>
    <t>Klarar max 2000l/h</t>
  </si>
  <si>
    <t>Klarar max 1850l/h</t>
  </si>
  <si>
    <t>Trafosteg</t>
  </si>
  <si>
    <t>VR2,2</t>
  </si>
  <si>
    <t>VR0,8</t>
  </si>
  <si>
    <t>Fel</t>
  </si>
  <si>
    <t>Upphängningskonsoll</t>
  </si>
  <si>
    <t>OBS! Denna beräkning är inte exakt. Avvikelser</t>
  </si>
  <si>
    <t xml:space="preserve"> på upp till 10% kan förekomma, avseende effekt och vattenflöde.</t>
  </si>
  <si>
    <t>Typ</t>
  </si>
  <si>
    <t>Effekt korrektion</t>
  </si>
  <si>
    <t>SAV-D</t>
  </si>
  <si>
    <t>SAV-G</t>
  </si>
  <si>
    <t>??</t>
  </si>
  <si>
    <t>1" DN25</t>
  </si>
  <si>
    <t>1½" DN32</t>
  </si>
  <si>
    <t>SAV-A</t>
  </si>
  <si>
    <t>SAV-N</t>
  </si>
  <si>
    <t>SAV-F</t>
  </si>
  <si>
    <t>SAVH1</t>
  </si>
  <si>
    <t>SAVH2</t>
  </si>
  <si>
    <t>SAVH4</t>
  </si>
  <si>
    <t>SAVH6</t>
  </si>
  <si>
    <t>Luftriktare AL höjdled</t>
  </si>
  <si>
    <t>Luftriktare AL sidled (ihop med SAVA)</t>
  </si>
  <si>
    <t>Luftriktare "Diffusor" 4 riktningar</t>
  </si>
  <si>
    <t>Luftriktare JET-dysor</t>
  </si>
  <si>
    <t>SAVH6NX</t>
  </si>
  <si>
    <t>SAVH4NX</t>
  </si>
  <si>
    <t>SAVH2NX</t>
  </si>
  <si>
    <t>Finns ej till NX</t>
  </si>
  <si>
    <t>Ventilsats Kvs 2,5</t>
  </si>
  <si>
    <t>FVV20.2</t>
  </si>
  <si>
    <t>RSK</t>
  </si>
  <si>
    <t>--</t>
  </si>
  <si>
    <t>m/s</t>
  </si>
  <si>
    <t>Med G front</t>
  </si>
  <si>
    <t>med G</t>
  </si>
  <si>
    <t>Produkt</t>
  </si>
  <si>
    <t>Artikelkod</t>
  </si>
  <si>
    <t>RSK nummer</t>
  </si>
  <si>
    <t>Kol3</t>
  </si>
  <si>
    <t>Kol4</t>
  </si>
  <si>
    <t>Kol5</t>
  </si>
  <si>
    <t>Kol6</t>
  </si>
  <si>
    <t>Konstantflödesventil</t>
  </si>
  <si>
    <t>TACP20</t>
  </si>
  <si>
    <t>TACP25</t>
  </si>
  <si>
    <t>VSDNCM30</t>
  </si>
  <si>
    <t>TACP32</t>
  </si>
  <si>
    <t>Används med VV &amp; TACP</t>
  </si>
  <si>
    <t>Klarar 210-1150l/h</t>
  </si>
  <si>
    <t>Klarar 370-2150l/h</t>
  </si>
  <si>
    <t>Klarar 800-3700l7h</t>
  </si>
  <si>
    <t>Reglerventil 2 vägs DN25 Kvs 3,3</t>
  </si>
  <si>
    <t>Reglerventil 2 vägs DN20 Kvs 2,5</t>
  </si>
  <si>
    <t>Reglerventil 2 vägs DN15 Kvs 1,8</t>
  </si>
  <si>
    <t>Ventiler</t>
  </si>
  <si>
    <t>Reglering</t>
  </si>
  <si>
    <t>SAV22GNXEC</t>
  </si>
  <si>
    <t>SAV42GNXEC</t>
  </si>
  <si>
    <t>SAV62GNXEC</t>
  </si>
  <si>
    <t>Finns ej</t>
  </si>
  <si>
    <t>Styrspänning</t>
  </si>
  <si>
    <t>10V</t>
  </si>
  <si>
    <t>8V</t>
  </si>
  <si>
    <t>6V</t>
  </si>
  <si>
    <t>4V</t>
  </si>
  <si>
    <t>7V</t>
  </si>
  <si>
    <t>5V</t>
  </si>
  <si>
    <t>3V</t>
  </si>
  <si>
    <t>Påbörjat ändring till EC, Endats luftmängd åtgärdat, fråga Drew om varför det är olika värden. 210611</t>
  </si>
  <si>
    <t>Temperaturregulator 230V</t>
  </si>
  <si>
    <t>Temperaturregulator 24V</t>
  </si>
  <si>
    <t>LVR3</t>
  </si>
  <si>
    <t>LVR4</t>
  </si>
  <si>
    <t>AFR-EC</t>
  </si>
  <si>
    <t>2V</t>
  </si>
  <si>
    <t>dba 10V</t>
  </si>
  <si>
    <t>dba 8V</t>
  </si>
  <si>
    <t>dba 7V</t>
  </si>
  <si>
    <t>dba 6V</t>
  </si>
  <si>
    <t>dba 5V</t>
  </si>
  <si>
    <t>dba 4V</t>
  </si>
  <si>
    <t>dba3V</t>
  </si>
  <si>
    <t>dba 2V</t>
  </si>
  <si>
    <t>SAV12GECN</t>
  </si>
  <si>
    <t>SAV22GECN</t>
  </si>
  <si>
    <t>SAV42GECN</t>
  </si>
  <si>
    <t>SAV62GECN</t>
  </si>
  <si>
    <t>Lufthastighet m/s vid 10V</t>
  </si>
  <si>
    <t>Lufthastighet m/s vid 8V</t>
  </si>
  <si>
    <t>Lufthastighet m/s vid 6V</t>
  </si>
  <si>
    <t>Lufthastighet m/s vid 4V</t>
  </si>
  <si>
    <t>Lufthastighet m/s vid 2V</t>
  </si>
  <si>
    <t>Lufthastighet 2m från fläkt</t>
  </si>
  <si>
    <t>Lufthastighet 4m från fläkt</t>
  </si>
  <si>
    <t>Lufthastighet 6m från fläkt</t>
  </si>
  <si>
    <t>Lufthastighet 8m från fläkt</t>
  </si>
  <si>
    <t>Lufthastighet 10m från fläkt</t>
  </si>
  <si>
    <t>Lufthastighet 12m från fläkt</t>
  </si>
  <si>
    <t>Lufthastighet 14m från fläkt</t>
  </si>
  <si>
    <t>Lufthastighet 16m från fläkt</t>
  </si>
  <si>
    <t>Lufthastighet 18m från fläkt</t>
  </si>
  <si>
    <t>Lufthastighet 20m från fläkt</t>
  </si>
  <si>
    <t>EC Motor</t>
  </si>
  <si>
    <t>Ström</t>
  </si>
  <si>
    <t>Luftvärmare utan luftriktare</t>
  </si>
  <si>
    <t>Luftvärmare med monterad "G" luftriktare</t>
  </si>
  <si>
    <t>Utan front</t>
  </si>
  <si>
    <t>SAV13GECN</t>
  </si>
  <si>
    <t>SAV23GECN</t>
  </si>
  <si>
    <t>SAV43GECN</t>
  </si>
  <si>
    <t>SAV63GECN</t>
  </si>
  <si>
    <t>SAV12ECN</t>
  </si>
  <si>
    <t>SAV42ECN</t>
  </si>
  <si>
    <t>SAV62ECN</t>
  </si>
  <si>
    <t>SAV22ECN</t>
  </si>
  <si>
    <t>SAV13ECN</t>
  </si>
  <si>
    <t>SAV23ECN</t>
  </si>
  <si>
    <t>SAV43ECN</t>
  </si>
  <si>
    <t>SAV63ECN</t>
  </si>
  <si>
    <t>SAVH1N</t>
  </si>
  <si>
    <t>SAVH2N</t>
  </si>
  <si>
    <t>SAVH4N</t>
  </si>
  <si>
    <t>SAVH6N</t>
  </si>
  <si>
    <t>Takpendelfäste</t>
  </si>
  <si>
    <t>TPF8</t>
  </si>
  <si>
    <t>SAVG1N</t>
  </si>
  <si>
    <t>SAVG2N</t>
  </si>
  <si>
    <t>SAVG4N</t>
  </si>
  <si>
    <t>SAVG6N</t>
  </si>
  <si>
    <t>SAVD1N</t>
  </si>
  <si>
    <t>SAVD2N</t>
  </si>
  <si>
    <t>SAVD4N</t>
  </si>
  <si>
    <t>SAVD6N</t>
  </si>
  <si>
    <t>SAVA1N</t>
  </si>
  <si>
    <t>SAVA2N</t>
  </si>
  <si>
    <t>SAVA4N</t>
  </si>
  <si>
    <t>SAVA6N</t>
  </si>
  <si>
    <t>SAVN1N</t>
  </si>
  <si>
    <t>SAVN2N</t>
  </si>
  <si>
    <t>SAVN4N</t>
  </si>
  <si>
    <t>SAVN6N</t>
  </si>
  <si>
    <t>SAVF1N</t>
  </si>
  <si>
    <t>SAVF2N</t>
  </si>
  <si>
    <t>SAVF4N</t>
  </si>
  <si>
    <t>SAVF6N</t>
  </si>
  <si>
    <t>SAV-S</t>
  </si>
  <si>
    <t>SAV-V</t>
  </si>
  <si>
    <t>SAVS1N</t>
  </si>
  <si>
    <t>SAVS4N</t>
  </si>
  <si>
    <t>SAVS6N</t>
  </si>
  <si>
    <t>SAVS2N</t>
  </si>
  <si>
    <t>SAVV1N</t>
  </si>
  <si>
    <t>SAVV2N</t>
  </si>
  <si>
    <t>SAVV4N</t>
  </si>
  <si>
    <t>SAVV6N</t>
  </si>
  <si>
    <t xml:space="preserve">Luftriktare Laminärflöde </t>
  </si>
  <si>
    <t>Luftriktare sidled enkel</t>
  </si>
  <si>
    <t>Luftriktare höjdled enkel Typ G</t>
  </si>
  <si>
    <t>221111 Ljuddata uppdaterat</t>
  </si>
  <si>
    <t xml:space="preserve">Ljudnivå EN3744 5m, q=2 </t>
  </si>
  <si>
    <t>&lt;20</t>
  </si>
  <si>
    <t>&lt;0,5</t>
  </si>
  <si>
    <t>SAV12 ECN</t>
  </si>
  <si>
    <t>SAV22 ECN</t>
  </si>
  <si>
    <t>SAV42 ECN</t>
  </si>
  <si>
    <t>SAV13 ECN</t>
  </si>
  <si>
    <t>SAV23 ECN</t>
  </si>
  <si>
    <t>SAV43 ECN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</si>
</sst>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;;;"/>
    <numFmt numFmtId="166" formatCode="#,##0.0"/>
    <numFmt numFmtId="167" formatCode="0.E+00"/>
  </numFmts>
  <fonts count="18">
    <font>
      <sz val="10"/>
      <name val="Arial"/>
    </font>
    <font>
      <sz val="10"/>
      <name val="Arial"/>
      <family val="2"/>
    </font>
    <font>
      <sz val="12"/>
      <name val="Univers (WN)"/>
      <family val="2"/>
    </font>
    <font>
      <sz val="14"/>
      <name val="Univers (WN)"/>
      <family val="2"/>
    </font>
    <font>
      <b/>
      <sz val="14"/>
      <name val="Univers (WN)"/>
    </font>
    <font>
      <b/>
      <sz val="14"/>
      <name val="Univers (WN)"/>
      <family val="2"/>
    </font>
    <font>
      <sz val="12"/>
      <name val="Univers (WN)"/>
    </font>
    <font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color indexed="9"/>
      <name val="Univers (WN)"/>
      <family val="2"/>
    </font>
    <font>
      <b/>
      <sz val="10"/>
      <name val="Arial"/>
      <family val="2"/>
    </font>
    <font>
      <sz val="12"/>
      <color theme="0"/>
      <name val="Univers (WN)"/>
      <family val="2"/>
    </font>
    <font>
      <b/>
      <sz val="12"/>
      <name val="Univers (WN)"/>
    </font>
    <font>
      <sz val="12"/>
      <name val="Univers"/>
      <family val="2"/>
    </font>
    <font>
      <sz val="10"/>
      <name val="Univers (WN)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10"/>
      </top>
      <bottom style="medium">
        <color indexed="1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Continuous"/>
    </xf>
    <xf numFmtId="164" fontId="2" fillId="2" borderId="0" xfId="0" applyNumberFormat="1" applyFont="1" applyFill="1" applyAlignment="1">
      <alignment horizontal="centerContinuous"/>
    </xf>
    <xf numFmtId="0" fontId="2" fillId="0" borderId="1" xfId="0" applyFont="1" applyBorder="1" applyAlignment="1" applyProtection="1">
      <alignment horizontal="centerContinuous"/>
      <protection locked="0"/>
    </xf>
    <xf numFmtId="0" fontId="2" fillId="0" borderId="2" xfId="0" applyFont="1" applyBorder="1" applyAlignment="1">
      <alignment horizontal="centerContinuous"/>
    </xf>
    <xf numFmtId="2" fontId="0" fillId="0" borderId="0" xfId="0" applyNumberFormat="1"/>
    <xf numFmtId="165" fontId="2" fillId="2" borderId="0" xfId="0" applyNumberFormat="1" applyFont="1" applyFill="1"/>
    <xf numFmtId="2" fontId="0" fillId="0" borderId="0" xfId="0" quotePrefix="1" applyNumberFormat="1" applyAlignment="1" applyProtection="1">
      <alignment horizontal="center"/>
      <protection locked="0"/>
    </xf>
    <xf numFmtId="2" fontId="0" fillId="0" borderId="0" xfId="0" quotePrefix="1" applyNumberFormat="1" applyAlignment="1" applyProtection="1">
      <alignment horizontal="right"/>
      <protection locked="0"/>
    </xf>
    <xf numFmtId="165" fontId="7" fillId="2" borderId="0" xfId="0" applyNumberFormat="1" applyFont="1" applyFill="1"/>
    <xf numFmtId="165" fontId="7" fillId="2" borderId="0" xfId="0" applyNumberFormat="1" applyFont="1" applyFill="1" applyAlignment="1">
      <alignment horizontal="right"/>
    </xf>
    <xf numFmtId="165" fontId="8" fillId="2" borderId="0" xfId="0" applyNumberFormat="1" applyFont="1" applyFill="1"/>
    <xf numFmtId="49" fontId="3" fillId="2" borderId="0" xfId="0" applyNumberFormat="1" applyFont="1" applyFill="1"/>
    <xf numFmtId="49" fontId="0" fillId="2" borderId="0" xfId="0" applyNumberFormat="1" applyFill="1"/>
    <xf numFmtId="49" fontId="4" fillId="2" borderId="0" xfId="0" applyNumberFormat="1" applyFont="1" applyFill="1" applyAlignment="1">
      <alignment horizontal="centerContinuous"/>
    </xf>
    <xf numFmtId="49" fontId="2" fillId="2" borderId="0" xfId="0" applyNumberFormat="1" applyFont="1" applyFill="1"/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/>
    <xf numFmtId="49" fontId="7" fillId="2" borderId="0" xfId="0" applyNumberFormat="1" applyFont="1" applyFill="1"/>
    <xf numFmtId="49" fontId="8" fillId="2" borderId="0" xfId="0" applyNumberFormat="1" applyFont="1" applyFill="1"/>
    <xf numFmtId="49" fontId="7" fillId="2" borderId="0" xfId="0" applyNumberFormat="1" applyFont="1" applyFill="1" applyAlignment="1">
      <alignment horizontal="left"/>
    </xf>
    <xf numFmtId="49" fontId="1" fillId="2" borderId="0" xfId="0" applyNumberFormat="1" applyFont="1" applyFill="1"/>
    <xf numFmtId="49" fontId="9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1" fillId="2" borderId="0" xfId="0" applyFont="1" applyFill="1"/>
    <xf numFmtId="49" fontId="10" fillId="2" borderId="0" xfId="0" applyNumberFormat="1" applyFont="1" applyFill="1"/>
    <xf numFmtId="0" fontId="0" fillId="3" borderId="0" xfId="0" applyFill="1" applyProtection="1">
      <protection locked="0"/>
    </xf>
    <xf numFmtId="165" fontId="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left"/>
    </xf>
    <xf numFmtId="11" fontId="2" fillId="2" borderId="0" xfId="0" applyNumberFormat="1" applyFont="1" applyFill="1" applyAlignment="1">
      <alignment horizontal="left"/>
    </xf>
    <xf numFmtId="3" fontId="11" fillId="2" borderId="0" xfId="1" applyNumberFormat="1" applyFill="1" applyAlignment="1" applyProtection="1">
      <alignment horizontal="center"/>
    </xf>
    <xf numFmtId="2" fontId="13" fillId="0" borderId="0" xfId="0" applyNumberFormat="1" applyFont="1"/>
    <xf numFmtId="2" fontId="1" fillId="0" borderId="0" xfId="0" applyNumberFormat="1" applyFont="1"/>
    <xf numFmtId="0" fontId="0" fillId="0" borderId="0" xfId="0" quotePrefix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" fontId="0" fillId="0" borderId="0" xfId="0" applyNumberFormat="1" applyProtection="1">
      <protection locked="0"/>
    </xf>
    <xf numFmtId="1" fontId="0" fillId="0" borderId="0" xfId="0" quotePrefix="1" applyNumberFormat="1" applyAlignment="1" applyProtection="1">
      <alignment horizontal="right"/>
      <protection locked="0"/>
    </xf>
    <xf numFmtId="1" fontId="1" fillId="0" borderId="0" xfId="0" applyNumberFormat="1" applyFont="1" applyProtection="1">
      <protection locked="0"/>
    </xf>
    <xf numFmtId="0" fontId="13" fillId="2" borderId="0" xfId="0" applyFont="1" applyFill="1"/>
    <xf numFmtId="0" fontId="13" fillId="2" borderId="0" xfId="0" applyFont="1" applyFill="1" applyAlignment="1">
      <alignment horizontal="right"/>
    </xf>
    <xf numFmtId="1" fontId="1" fillId="0" borderId="0" xfId="0" quotePrefix="1" applyNumberFormat="1" applyFont="1" applyProtection="1">
      <protection locked="0"/>
    </xf>
    <xf numFmtId="2" fontId="14" fillId="2" borderId="0" xfId="0" applyNumberFormat="1" applyFont="1" applyFill="1" applyAlignment="1">
      <alignment horizontal="center"/>
    </xf>
    <xf numFmtId="2" fontId="12" fillId="2" borderId="0" xfId="0" applyNumberFormat="1" applyFont="1" applyFill="1" applyAlignment="1">
      <alignment horizontal="center"/>
    </xf>
    <xf numFmtId="2" fontId="0" fillId="2" borderId="0" xfId="0" applyNumberFormat="1" applyFill="1"/>
    <xf numFmtId="1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left"/>
    </xf>
    <xf numFmtId="2" fontId="1" fillId="0" borderId="0" xfId="0" quotePrefix="1" applyNumberFormat="1" applyFont="1" applyAlignment="1" applyProtection="1">
      <alignment horizontal="center"/>
      <protection locked="0"/>
    </xf>
    <xf numFmtId="4" fontId="2" fillId="2" borderId="0" xfId="0" applyNumberFormat="1" applyFont="1" applyFill="1" applyAlignment="1">
      <alignment horizontal="center"/>
    </xf>
    <xf numFmtId="0" fontId="0" fillId="4" borderId="0" xfId="0" applyFill="1"/>
    <xf numFmtId="2" fontId="0" fillId="4" borderId="0" xfId="0" applyNumberFormat="1" applyFill="1"/>
    <xf numFmtId="0" fontId="0" fillId="4" borderId="0" xfId="0" applyFill="1" applyProtection="1">
      <protection locked="0"/>
    </xf>
    <xf numFmtId="2" fontId="0" fillId="4" borderId="0" xfId="0" applyNumberFormat="1" applyFill="1" applyProtection="1">
      <protection locked="0"/>
    </xf>
    <xf numFmtId="165" fontId="0" fillId="4" borderId="0" xfId="0" applyNumberFormat="1" applyFill="1" applyProtection="1">
      <protection locked="0"/>
    </xf>
    <xf numFmtId="0" fontId="0" fillId="4" borderId="0" xfId="0" quotePrefix="1" applyFill="1" applyAlignment="1" applyProtection="1">
      <alignment horizontal="left"/>
      <protection locked="0"/>
    </xf>
    <xf numFmtId="2" fontId="1" fillId="4" borderId="0" xfId="0" applyNumberFormat="1" applyFont="1" applyFill="1"/>
    <xf numFmtId="2" fontId="13" fillId="4" borderId="0" xfId="0" applyNumberFormat="1" applyFont="1" applyFill="1"/>
    <xf numFmtId="165" fontId="0" fillId="4" borderId="0" xfId="0" applyNumberFormat="1" applyFill="1"/>
    <xf numFmtId="1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horizontal="left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 applyProtection="1">
      <alignment horizontal="centerContinuous"/>
      <protection locked="0" hidden="1"/>
    </xf>
    <xf numFmtId="49" fontId="6" fillId="2" borderId="0" xfId="0" applyNumberFormat="1" applyFont="1" applyFill="1"/>
    <xf numFmtId="49" fontId="15" fillId="2" borderId="0" xfId="0" applyNumberFormat="1" applyFont="1" applyFill="1"/>
    <xf numFmtId="0" fontId="4" fillId="2" borderId="0" xfId="0" applyFont="1" applyFill="1"/>
    <xf numFmtId="2" fontId="4" fillId="2" borderId="0" xfId="0" applyNumberFormat="1" applyFont="1" applyFill="1" applyAlignment="1">
      <alignment horizontal="left"/>
    </xf>
    <xf numFmtId="0" fontId="1" fillId="3" borderId="0" xfId="0" applyFont="1" applyFill="1" applyProtection="1">
      <protection locked="0"/>
    </xf>
    <xf numFmtId="0" fontId="16" fillId="2" borderId="0" xfId="0" applyFont="1" applyFill="1"/>
    <xf numFmtId="4" fontId="17" fillId="2" borderId="0" xfId="0" quotePrefix="1" applyNumberFormat="1" applyFont="1" applyFill="1" applyAlignment="1">
      <alignment horizontal="center"/>
    </xf>
    <xf numFmtId="1" fontId="0" fillId="0" borderId="0" xfId="0" quotePrefix="1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/>
    <xf numFmtId="0" fontId="6" fillId="2" borderId="0" xfId="0" applyFont="1" applyFill="1" applyAlignment="1">
      <alignment horizontal="left"/>
    </xf>
    <xf numFmtId="2" fontId="1" fillId="0" borderId="0" xfId="0" quotePrefix="1" applyNumberFormat="1" applyFont="1" applyAlignment="1" applyProtection="1">
      <alignment horizontal="right"/>
      <protection locked="0"/>
    </xf>
    <xf numFmtId="1" fontId="1" fillId="0" borderId="0" xfId="0" quotePrefix="1" applyNumberFormat="1" applyFont="1" applyAlignment="1" applyProtection="1">
      <alignment horizontal="right"/>
      <protection locked="0"/>
    </xf>
    <xf numFmtId="164" fontId="0" fillId="0" borderId="0" xfId="0" quotePrefix="1" applyNumberFormat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20" dropStyle="combo" dx="22" fmlaLink="Q7" fmlaRange="A96:A112" sel="1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3</xdr:col>
          <xdr:colOff>1190625</xdr:colOff>
          <xdr:row>6</xdr:row>
          <xdr:rowOff>190500</xdr:rowOff>
        </xdr:to>
        <xdr:sp macro="" textlink="">
          <xdr:nvSpPr>
            <xdr:cNvPr id="1396" name="Drop Down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1905000</xdr:colOff>
      <xdr:row>3</xdr:row>
      <xdr:rowOff>29864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000" cy="515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K1087"/>
  <sheetViews>
    <sheetView tabSelected="1" zoomScaleNormal="100" workbookViewId="0">
      <selection activeCell="D5" sqref="D5:G5"/>
    </sheetView>
  </sheetViews>
  <sheetFormatPr defaultColWidth="9.140625" defaultRowHeight="12.75"/>
  <cols>
    <col min="1" max="1" width="30.7109375" customWidth="1"/>
    <col min="2" max="2" width="11.7109375" customWidth="1"/>
    <col min="3" max="3" width="17.42578125" customWidth="1"/>
    <col min="4" max="4" width="20" customWidth="1"/>
    <col min="5" max="5" width="11.5703125" customWidth="1"/>
    <col min="6" max="6" width="15.7109375" bestFit="1" customWidth="1"/>
    <col min="7" max="7" width="10.85546875" customWidth="1"/>
    <col min="8" max="8" width="9.42578125" customWidth="1"/>
    <col min="9" max="9" width="9.28515625" bestFit="1" customWidth="1"/>
    <col min="10" max="10" width="11.7109375" customWidth="1"/>
    <col min="11" max="11" width="18.28515625" style="77" customWidth="1"/>
    <col min="12" max="12" width="9.28515625" customWidth="1"/>
    <col min="13" max="13" width="39.5703125" customWidth="1"/>
    <col min="14" max="15" width="9.28515625" customWidth="1"/>
    <col min="16" max="16" width="9.140625" customWidth="1"/>
    <col min="17" max="87" width="9.28515625" customWidth="1"/>
    <col min="88" max="88" width="9.5703125" customWidth="1"/>
    <col min="89" max="93" width="9.28515625" customWidth="1"/>
    <col min="94" max="97" width="9.140625" customWidth="1"/>
    <col min="98" max="99" width="9.85546875" customWidth="1"/>
    <col min="100" max="100" width="9.140625" customWidth="1"/>
    <col min="101" max="101" width="10.5703125" customWidth="1"/>
    <col min="102" max="8307" width="9.140625" customWidth="1"/>
  </cols>
  <sheetData>
    <row r="1" spans="1:87">
      <c r="A1" s="13"/>
      <c r="B1" s="13"/>
      <c r="C1" s="13" t="s">
        <v>86</v>
      </c>
      <c r="D1" s="13"/>
      <c r="E1" s="13"/>
      <c r="F1" s="13"/>
      <c r="G1" s="13"/>
      <c r="H1" s="13"/>
      <c r="I1" s="13"/>
      <c r="J1" s="13"/>
    </row>
    <row r="2" spans="1:87">
      <c r="A2" s="13"/>
      <c r="B2" s="13"/>
      <c r="C2" s="13" t="s">
        <v>87</v>
      </c>
      <c r="D2" s="13"/>
      <c r="E2" s="13"/>
      <c r="F2" s="13"/>
      <c r="G2" s="13"/>
      <c r="H2" s="13"/>
      <c r="I2" s="13"/>
      <c r="J2" s="13"/>
    </row>
    <row r="3" spans="1:87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87" ht="13.5" thickBot="1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87" ht="15.75" thickBot="1">
      <c r="A5" s="14" t="s">
        <v>0</v>
      </c>
      <c r="B5" s="14"/>
      <c r="C5" s="14"/>
      <c r="D5" s="110"/>
      <c r="E5" s="111"/>
      <c r="F5" s="111"/>
      <c r="G5" s="112"/>
      <c r="H5" s="13"/>
      <c r="I5" s="13"/>
      <c r="J5" s="13"/>
      <c r="P5" s="1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1"/>
      <c r="BY5" s="1"/>
      <c r="BZ5" s="1"/>
      <c r="CA5" s="1"/>
      <c r="CB5" s="1"/>
      <c r="CC5" s="1"/>
      <c r="CD5" s="3"/>
      <c r="CE5" s="3"/>
      <c r="CF5" s="1"/>
      <c r="CG5" s="1"/>
      <c r="CH5" s="3"/>
      <c r="CI5" s="3"/>
    </row>
    <row r="6" spans="1:87" ht="15.75" thickBot="1">
      <c r="A6" s="14" t="s">
        <v>1</v>
      </c>
      <c r="B6" s="14"/>
      <c r="C6" s="14"/>
      <c r="D6" s="110"/>
      <c r="E6" s="111"/>
      <c r="F6" s="111"/>
      <c r="G6" s="112"/>
      <c r="H6" s="13"/>
      <c r="I6" s="77"/>
      <c r="J6" s="13"/>
      <c r="P6" s="1"/>
      <c r="Q6" s="2"/>
      <c r="R6" s="2"/>
      <c r="S6" s="2"/>
      <c r="T6" s="2"/>
      <c r="U6" s="2"/>
      <c r="V6" s="1"/>
      <c r="W6" s="1"/>
      <c r="X6" s="1"/>
      <c r="Y6" s="1"/>
      <c r="Z6" s="1"/>
      <c r="AA6" s="1"/>
      <c r="AB6" s="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1"/>
      <c r="BY6" s="1"/>
      <c r="BZ6" s="1"/>
      <c r="CA6" s="1"/>
      <c r="CB6" s="1"/>
      <c r="CC6" s="1"/>
      <c r="CD6" s="3"/>
      <c r="CE6" s="3"/>
      <c r="CF6" s="1"/>
      <c r="CG6" s="1"/>
      <c r="CH6" s="3"/>
      <c r="CI6" s="3"/>
    </row>
    <row r="7" spans="1:87" ht="18.75" thickBot="1">
      <c r="A7" s="15" t="s">
        <v>2</v>
      </c>
      <c r="B7" s="15"/>
      <c r="C7" s="15"/>
      <c r="D7" s="13"/>
      <c r="E7" s="66"/>
      <c r="F7" s="65"/>
      <c r="H7" s="13"/>
      <c r="I7" s="77"/>
      <c r="J7" s="13"/>
      <c r="M7" s="4"/>
      <c r="N7" s="4"/>
      <c r="O7" s="4"/>
      <c r="P7" s="91"/>
      <c r="Q7" s="92">
        <v>11</v>
      </c>
      <c r="R7" s="2"/>
      <c r="S7" s="2"/>
      <c r="T7" s="2"/>
      <c r="U7" s="2"/>
      <c r="V7" s="1"/>
      <c r="W7" s="1"/>
      <c r="X7" s="1"/>
      <c r="Y7" s="1"/>
      <c r="Z7" s="1"/>
      <c r="AA7" s="1"/>
      <c r="AB7" s="1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1"/>
      <c r="BY7" s="1"/>
      <c r="BZ7" s="1"/>
      <c r="CA7" s="1"/>
      <c r="CB7" s="1"/>
      <c r="CC7" s="1"/>
      <c r="CD7" s="3"/>
      <c r="CE7" s="3"/>
      <c r="CF7" s="1"/>
      <c r="CG7" s="1"/>
      <c r="CH7" s="3"/>
      <c r="CI7" s="3"/>
    </row>
    <row r="8" spans="1:87" ht="15.75" thickBot="1">
      <c r="A8" s="14" t="s">
        <v>3</v>
      </c>
      <c r="B8" s="14" t="s">
        <v>4</v>
      </c>
      <c r="C8" s="14"/>
      <c r="D8" s="22">
        <v>60</v>
      </c>
      <c r="E8" s="23"/>
      <c r="F8" s="13"/>
      <c r="G8" s="13"/>
      <c r="H8" s="13"/>
      <c r="I8" s="77"/>
      <c r="J8" s="13"/>
      <c r="M8" s="4"/>
      <c r="N8" s="4"/>
      <c r="O8" s="4"/>
      <c r="P8" s="91"/>
      <c r="Q8" s="91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1"/>
      <c r="BY8" s="1"/>
      <c r="BZ8" s="1"/>
      <c r="CA8" s="1"/>
      <c r="CB8" s="1"/>
      <c r="CC8" s="1"/>
      <c r="CD8" s="3"/>
      <c r="CE8" s="3"/>
      <c r="CF8" s="1"/>
      <c r="CG8" s="1"/>
      <c r="CH8" s="3"/>
      <c r="CI8" s="3"/>
    </row>
    <row r="9" spans="1:87" ht="15.75" thickBot="1">
      <c r="A9" s="14" t="s">
        <v>5</v>
      </c>
      <c r="B9" s="14" t="s">
        <v>4</v>
      </c>
      <c r="C9" s="14"/>
      <c r="D9" s="22">
        <v>40</v>
      </c>
      <c r="E9" s="23"/>
      <c r="F9" s="13"/>
      <c r="G9" s="13"/>
      <c r="H9" s="65"/>
      <c r="I9" s="77"/>
      <c r="J9" s="13"/>
      <c r="M9" s="4"/>
      <c r="N9" s="4"/>
      <c r="O9" s="4"/>
      <c r="P9" s="91"/>
      <c r="Q9" s="91"/>
      <c r="R9" s="2"/>
      <c r="S9" s="2"/>
      <c r="T9" s="2"/>
      <c r="U9" s="2"/>
      <c r="V9" s="1"/>
      <c r="W9" s="1"/>
      <c r="X9" s="1"/>
      <c r="Y9" s="1"/>
      <c r="Z9" s="1"/>
      <c r="AA9" s="1"/>
      <c r="AB9" s="1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1"/>
      <c r="BY9" s="1"/>
      <c r="BZ9" s="1"/>
      <c r="CA9" s="1"/>
      <c r="CB9" s="1"/>
      <c r="CC9" s="1"/>
      <c r="CD9" s="3"/>
      <c r="CE9" s="3"/>
      <c r="CF9" s="1"/>
      <c r="CG9" s="1"/>
      <c r="CH9" s="3"/>
      <c r="CI9" s="3"/>
    </row>
    <row r="10" spans="1:87" ht="15.75" thickBot="1">
      <c r="A10" s="14" t="s">
        <v>6</v>
      </c>
      <c r="B10" s="14" t="s">
        <v>4</v>
      </c>
      <c r="C10" s="14"/>
      <c r="D10" s="22">
        <v>15</v>
      </c>
      <c r="E10" s="23"/>
      <c r="F10" s="13"/>
      <c r="G10" s="13"/>
      <c r="H10" s="13"/>
      <c r="J10" s="13"/>
      <c r="M10" s="4"/>
      <c r="N10" s="4"/>
      <c r="O10" s="4"/>
      <c r="P10" s="91"/>
      <c r="Q10" s="91"/>
      <c r="R10" s="2"/>
      <c r="S10" s="2"/>
      <c r="T10" s="2"/>
      <c r="U10" s="2"/>
      <c r="V10" s="1"/>
      <c r="W10" s="1"/>
      <c r="X10" s="1"/>
      <c r="Y10" s="1"/>
      <c r="Z10" s="1"/>
      <c r="AA10" s="1"/>
      <c r="AB10" s="1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1"/>
      <c r="BY10" s="1"/>
      <c r="BZ10" s="1"/>
      <c r="CA10" s="1"/>
      <c r="CB10" s="1"/>
      <c r="CC10" s="1"/>
      <c r="CD10" s="3"/>
      <c r="CE10" s="3"/>
      <c r="CF10" s="1"/>
      <c r="CG10" s="1"/>
      <c r="CH10" s="3"/>
      <c r="CI10" s="3"/>
    </row>
    <row r="11" spans="1:87" ht="15">
      <c r="A11" s="25" t="s">
        <v>81</v>
      </c>
      <c r="B11" s="14"/>
      <c r="C11" s="50">
        <v>5</v>
      </c>
      <c r="D11" s="48">
        <v>4</v>
      </c>
      <c r="E11" s="48">
        <v>3</v>
      </c>
      <c r="F11" s="48">
        <v>2</v>
      </c>
      <c r="G11" s="48">
        <v>1</v>
      </c>
      <c r="H11" s="16"/>
      <c r="I11" s="16"/>
      <c r="J11" s="13"/>
      <c r="M11" s="4"/>
      <c r="N11" s="4"/>
      <c r="O11" s="91"/>
      <c r="P11" s="91"/>
      <c r="Q11" s="91"/>
      <c r="R11" s="1"/>
      <c r="S11" s="1"/>
      <c r="T11" s="1"/>
      <c r="U11" s="1"/>
      <c r="V11" s="1"/>
      <c r="W11" s="1"/>
      <c r="X11" s="1"/>
      <c r="Y11" s="1"/>
      <c r="Z11" s="1"/>
      <c r="AA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1"/>
      <c r="BX11" s="1"/>
      <c r="BY11" s="1"/>
      <c r="BZ11" s="1"/>
      <c r="CA11" s="1"/>
      <c r="CB11" s="1"/>
      <c r="CC11" s="3"/>
      <c r="CD11" s="3"/>
      <c r="CE11" s="1"/>
      <c r="CF11" s="1"/>
      <c r="CG11" s="3"/>
      <c r="CH11" s="3"/>
    </row>
    <row r="12" spans="1:87" ht="15">
      <c r="A12" s="25" t="s">
        <v>7</v>
      </c>
      <c r="B12" s="14"/>
      <c r="C12" s="47">
        <v>2</v>
      </c>
      <c r="D12" s="48"/>
      <c r="E12" s="48"/>
      <c r="F12" s="48"/>
      <c r="G12" s="48"/>
      <c r="H12" s="16"/>
      <c r="I12" s="16"/>
      <c r="J12" s="13"/>
      <c r="M12" s="4"/>
      <c r="N12" s="4"/>
      <c r="O12" s="91"/>
      <c r="P12" s="91"/>
      <c r="Q12" s="91"/>
      <c r="R12" s="1"/>
      <c r="S12" s="1"/>
      <c r="T12" s="1"/>
      <c r="U12" s="1"/>
      <c r="V12" s="1"/>
      <c r="W12" s="1"/>
      <c r="X12" s="1"/>
      <c r="Y12" s="1"/>
      <c r="Z12" s="1"/>
      <c r="AA12" s="1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1"/>
      <c r="BX12" s="1"/>
      <c r="BY12" s="1"/>
      <c r="BZ12" s="1"/>
      <c r="CA12" s="1"/>
      <c r="CB12" s="1"/>
      <c r="CC12" s="3"/>
      <c r="CD12" s="3"/>
      <c r="CE12" s="1"/>
      <c r="CF12" s="1"/>
      <c r="CG12" s="3"/>
      <c r="CH12" s="3"/>
    </row>
    <row r="13" spans="1:87" ht="15" hidden="1">
      <c r="A13" s="14" t="s">
        <v>8</v>
      </c>
      <c r="B13" s="14" t="s">
        <v>9</v>
      </c>
      <c r="C13" s="17">
        <f>VLOOKUP((+$Q$7),$D$96:$CI$117,10)</f>
        <v>1909</v>
      </c>
      <c r="D13" s="49"/>
      <c r="E13" s="49"/>
      <c r="F13" s="49"/>
      <c r="G13" s="53"/>
      <c r="H13" s="16"/>
      <c r="I13" s="16"/>
      <c r="J13" s="13"/>
      <c r="M13" s="4"/>
      <c r="N13" s="4"/>
      <c r="O13" s="91"/>
      <c r="P13" s="91"/>
      <c r="Q13" s="91"/>
      <c r="R13" s="1"/>
      <c r="S13" s="1"/>
      <c r="T13" s="1"/>
      <c r="U13" s="1"/>
      <c r="V13" s="1"/>
      <c r="W13" s="1"/>
      <c r="X13" s="1"/>
      <c r="Y13" s="1"/>
      <c r="Z13" s="1"/>
      <c r="AA13" s="1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1"/>
      <c r="BX13" s="1"/>
      <c r="BY13" s="1"/>
      <c r="BZ13" s="1"/>
      <c r="CA13" s="1"/>
      <c r="CB13" s="1"/>
      <c r="CC13" s="3"/>
      <c r="CD13" s="3"/>
      <c r="CE13" s="1"/>
      <c r="CF13" s="1"/>
      <c r="CG13" s="3"/>
      <c r="CH13" s="3"/>
    </row>
    <row r="14" spans="1:87" ht="15" hidden="1">
      <c r="A14" s="14" t="s">
        <v>81</v>
      </c>
      <c r="B14" s="14"/>
      <c r="C14" s="17">
        <v>5</v>
      </c>
      <c r="D14" s="47">
        <v>4</v>
      </c>
      <c r="E14" s="47">
        <v>3</v>
      </c>
      <c r="F14" s="47">
        <v>2</v>
      </c>
      <c r="G14" s="47">
        <v>1</v>
      </c>
      <c r="H14" s="16"/>
      <c r="I14" s="16"/>
      <c r="J14" s="13"/>
      <c r="M14" s="4"/>
      <c r="N14" s="4"/>
      <c r="O14" s="91"/>
      <c r="P14" s="91"/>
      <c r="Q14" s="91"/>
      <c r="R14" s="1"/>
      <c r="S14" s="1"/>
      <c r="T14" s="1"/>
      <c r="U14" s="1"/>
      <c r="V14" s="1"/>
      <c r="W14" s="1"/>
      <c r="X14" s="1"/>
      <c r="Y14" s="1"/>
      <c r="Z14" s="1"/>
      <c r="AA14" s="1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1"/>
      <c r="BX14" s="1"/>
      <c r="BY14" s="1"/>
      <c r="BZ14" s="1"/>
      <c r="CA14" s="1"/>
      <c r="CB14" s="1"/>
      <c r="CC14" s="3"/>
      <c r="CD14" s="3"/>
      <c r="CE14" s="1"/>
      <c r="CF14" s="1"/>
      <c r="CG14" s="3"/>
      <c r="CH14" s="3"/>
    </row>
    <row r="15" spans="1:87" ht="15.75">
      <c r="A15" s="14" t="s">
        <v>142</v>
      </c>
      <c r="B15" s="14"/>
      <c r="C15" s="17" t="s">
        <v>143</v>
      </c>
      <c r="D15" s="71" t="s">
        <v>144</v>
      </c>
      <c r="E15" s="71" t="s">
        <v>147</v>
      </c>
      <c r="F15" s="71" t="s">
        <v>145</v>
      </c>
      <c r="G15" s="71" t="s">
        <v>148</v>
      </c>
      <c r="H15" s="71" t="s">
        <v>146</v>
      </c>
      <c r="I15" s="71" t="s">
        <v>149</v>
      </c>
      <c r="J15" s="98" t="s">
        <v>156</v>
      </c>
      <c r="M15" s="4"/>
      <c r="N15" s="4"/>
      <c r="O15" s="91"/>
      <c r="P15" s="91"/>
      <c r="Q15" s="91"/>
      <c r="R15" s="1"/>
      <c r="S15" s="1"/>
      <c r="T15" s="1"/>
      <c r="U15" s="1"/>
      <c r="V15" s="1"/>
      <c r="W15" s="1"/>
      <c r="X15" s="1"/>
      <c r="Y15" s="1"/>
      <c r="Z15" s="1"/>
      <c r="AA15" s="1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1"/>
      <c r="BX15" s="1"/>
      <c r="BY15" s="1"/>
      <c r="BZ15" s="1"/>
      <c r="CA15" s="1"/>
      <c r="CB15" s="1"/>
      <c r="CC15" s="3"/>
      <c r="CD15" s="3"/>
      <c r="CE15" s="1"/>
      <c r="CF15" s="1"/>
      <c r="CG15" s="3"/>
      <c r="CH15" s="3"/>
    </row>
    <row r="16" spans="1:87" ht="15">
      <c r="A16" s="14" t="s">
        <v>10</v>
      </c>
      <c r="B16" s="14" t="s">
        <v>11</v>
      </c>
      <c r="C16" s="17">
        <f>VLOOKUP((+$Q$7),$D$96:$CI$117,2)</f>
        <v>2643</v>
      </c>
      <c r="D16" s="71">
        <f>VLOOKUP((+$Q$7),$D$96:$CI$117,6)</f>
        <v>2525</v>
      </c>
      <c r="E16" s="71">
        <f>VLOOKUP((+$Q$7),$D$96:$CI$117,7)</f>
        <v>2392</v>
      </c>
      <c r="F16" s="71">
        <f>VLOOKUP((+$Q$7),$D$96:$CI$117,8)</f>
        <v>2259</v>
      </c>
      <c r="G16" s="71">
        <f>VLOOKUP((+$Q$7),$D$96:$CI$117,9)</f>
        <v>2084</v>
      </c>
      <c r="H16" s="71">
        <f>VLOOKUP((+$Q$7),$D$96:$CI$117,10)</f>
        <v>1909</v>
      </c>
      <c r="I16" s="71">
        <f>VLOOKUP((+$Q$7),$D$96:$CI$117,11)</f>
        <v>1662.5</v>
      </c>
      <c r="J16" s="71">
        <f>VLOOKUP((+$Q$7),$D$96:$CI$117,12)</f>
        <v>1416</v>
      </c>
      <c r="M16" s="4"/>
      <c r="N16" s="4"/>
      <c r="O16" s="91"/>
      <c r="P16" s="91"/>
      <c r="Q16" s="91"/>
      <c r="R16" s="1"/>
      <c r="S16" s="1"/>
      <c r="T16" s="1"/>
      <c r="U16" s="1"/>
      <c r="V16" s="1"/>
      <c r="W16" s="1"/>
      <c r="X16" s="1"/>
      <c r="Y16" s="1"/>
      <c r="Z16" s="1"/>
      <c r="AA16" s="1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1"/>
      <c r="BX16" s="1"/>
      <c r="BY16" s="1"/>
      <c r="BZ16" s="1"/>
      <c r="CA16" s="1"/>
      <c r="CB16" s="1"/>
      <c r="CC16" s="3"/>
      <c r="CD16" s="3"/>
      <c r="CE16" s="1"/>
      <c r="CF16" s="1"/>
      <c r="CG16" s="3"/>
      <c r="CH16" s="3"/>
    </row>
    <row r="17" spans="1:86" ht="15">
      <c r="A17" s="14" t="s">
        <v>12</v>
      </c>
      <c r="B17" s="14" t="s">
        <v>13</v>
      </c>
      <c r="C17" s="18">
        <f>VLOOKUP((+$Q$7),$D$96:$M$117,3)*1.163/1000*IF((+$D$8-$D$9)&gt;40,0,IF((+$D$8-$D$9)&gt;25,VLOOKUP(((+$D$8+$D$9)/2-$D$10),$H$124:$K$229,4),IF((+$D$8-$D$9)&gt;15,VLOOKUP(((+$D$8+$D$9)/2-$D$10),$H$124:$K$229,3),VLOOKUP((($D$8+$D$9)/2-$D$10),$H$124:$K$229,2))))</f>
        <v>9.9793541000000019</v>
      </c>
      <c r="D17" s="18">
        <f>VLOOKUP((+$Q$7),$R$122:$Z$134,5)*C17*D16/($C16)*1</f>
        <v>9.5338135083238758</v>
      </c>
      <c r="E17" s="18">
        <f>VLOOKUP((+$Q$7),$R$122:$Z$134,6)*C17*E16/($C16)*0.99</f>
        <v>9.4777992389540984</v>
      </c>
      <c r="F17" s="18">
        <f>VLOOKUP((+$Q$7),$R$122:$Z$134,7)*C17*F16/($C16)*0.96</f>
        <v>9.3346402504666521</v>
      </c>
      <c r="G17" s="18">
        <f>VLOOKUP((+$Q$7),$R$122:$Z$134,8)*C17*G16/($C16*0.9)</f>
        <v>9.2675799306612863</v>
      </c>
      <c r="H17" s="18">
        <f>VLOOKUP((+$Q$7),$R$122:$AC$134,9)*D17*H16/($C16*0.9)</f>
        <v>8.6459227669529621</v>
      </c>
      <c r="I17" s="18">
        <f>VLOOKUP((+$Q$7),$R$122:$AC$134,10)*E17*I16/($C16*0.9)</f>
        <v>7.6840021155769858</v>
      </c>
      <c r="J17" s="18">
        <f>VLOOKUP((+$Q$7),$R$122:$AC$134,11)*F17*J16/($C16*0.9)</f>
        <v>6.8903748843399182</v>
      </c>
      <c r="M17" s="4"/>
      <c r="N17" s="4"/>
      <c r="O17" s="91"/>
      <c r="P17" s="91"/>
      <c r="Q17" s="91"/>
      <c r="R17" s="1"/>
      <c r="S17" s="1"/>
      <c r="T17" s="1"/>
      <c r="U17" s="1"/>
      <c r="V17" s="1"/>
      <c r="W17" s="1"/>
      <c r="X17" s="1"/>
      <c r="Y17" s="1"/>
      <c r="Z17" s="1"/>
      <c r="AA17" s="1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1"/>
      <c r="BX17" s="1"/>
      <c r="BY17" s="1"/>
      <c r="BZ17" s="1"/>
      <c r="CA17" s="1"/>
      <c r="CB17" s="1"/>
      <c r="CC17" s="3"/>
      <c r="CD17" s="3"/>
      <c r="CE17" s="1"/>
      <c r="CF17" s="1"/>
      <c r="CG17" s="3"/>
      <c r="CH17" s="3"/>
    </row>
    <row r="18" spans="1:86" ht="15">
      <c r="A18" s="14" t="s">
        <v>14</v>
      </c>
      <c r="B18" s="14" t="s">
        <v>4</v>
      </c>
      <c r="C18" s="17">
        <f t="shared" ref="C18:I18" si="0">C17*860/C16/VLOOKUP((+$D$10),$D$123:$E$133,2)+$D$10</f>
        <v>26.0447627361198</v>
      </c>
      <c r="D18" s="73">
        <f t="shared" si="0"/>
        <v>26.0447627361198</v>
      </c>
      <c r="E18" s="73">
        <f t="shared" si="0"/>
        <v>26.590374015284119</v>
      </c>
      <c r="F18" s="73">
        <f t="shared" si="0"/>
        <v>27.087388338409511</v>
      </c>
      <c r="G18" s="73">
        <f t="shared" si="0"/>
        <v>28.008276111429986</v>
      </c>
      <c r="H18" s="73">
        <f t="shared" si="0"/>
        <v>28.248189883900373</v>
      </c>
      <c r="I18" s="73">
        <f t="shared" si="0"/>
        <v>28.520007814221692</v>
      </c>
      <c r="J18" s="73">
        <f t="shared" ref="J18" si="1">J17*860/J16/VLOOKUP((+$D$10),$D$123:$E$133,2)+$D$10</f>
        <v>29.23412314206044</v>
      </c>
      <c r="M18" s="4">
        <f>+C17*1000/N18</f>
        <v>11.141609683481889</v>
      </c>
      <c r="N18" s="4">
        <f>1220*C16/3600</f>
        <v>895.68333333333328</v>
      </c>
      <c r="O18" s="91"/>
      <c r="P18" s="91"/>
      <c r="Q18" s="91"/>
      <c r="R18" s="1"/>
      <c r="S18" s="1"/>
      <c r="T18" s="1"/>
      <c r="U18" s="1"/>
      <c r="V18" s="1"/>
      <c r="W18" s="1"/>
      <c r="X18" s="1"/>
      <c r="Y18" s="1"/>
      <c r="Z18" s="1"/>
      <c r="AA18" s="1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1"/>
      <c r="BX18" s="1"/>
      <c r="BY18" s="1"/>
      <c r="BZ18" s="1"/>
      <c r="CA18" s="1"/>
      <c r="CB18" s="1"/>
      <c r="CC18" s="3"/>
      <c r="CD18" s="3"/>
      <c r="CE18" s="1"/>
      <c r="CF18" s="1"/>
      <c r="CG18" s="3"/>
      <c r="CH18" s="3"/>
    </row>
    <row r="19" spans="1:86" ht="15">
      <c r="A19" s="14" t="s">
        <v>15</v>
      </c>
      <c r="B19" s="14" t="s">
        <v>16</v>
      </c>
      <c r="C19" s="17">
        <f t="shared" ref="C19:I19" si="2">C17*860/($D8-$D9)</f>
        <v>429.11222630000009</v>
      </c>
      <c r="D19" s="71">
        <f t="shared" si="2"/>
        <v>409.95398085792669</v>
      </c>
      <c r="E19" s="71">
        <f t="shared" si="2"/>
        <v>407.54536727502625</v>
      </c>
      <c r="F19" s="71">
        <f t="shared" si="2"/>
        <v>401.38953077006602</v>
      </c>
      <c r="G19" s="71">
        <f t="shared" si="2"/>
        <v>398.5059370184353</v>
      </c>
      <c r="H19" s="71">
        <f t="shared" si="2"/>
        <v>371.77467897897736</v>
      </c>
      <c r="I19" s="71">
        <f t="shared" si="2"/>
        <v>330.41209096981038</v>
      </c>
      <c r="J19" s="71">
        <f t="shared" ref="J19" si="3">J17*860/($D8-$D9)</f>
        <v>296.28612002661646</v>
      </c>
      <c r="O19" s="1"/>
      <c r="P19" s="2"/>
      <c r="Q19" s="2"/>
      <c r="R19" s="1"/>
      <c r="S19" s="1"/>
      <c r="T19" s="1"/>
      <c r="U19" s="1"/>
      <c r="V19" s="1"/>
      <c r="W19" s="1"/>
      <c r="X19" s="1"/>
      <c r="Y19" s="1"/>
      <c r="Z19" s="1"/>
      <c r="AA19" s="1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1"/>
      <c r="BX19" s="1"/>
      <c r="BY19" s="1"/>
      <c r="BZ19" s="1"/>
      <c r="CA19" s="1"/>
      <c r="CB19" s="1"/>
      <c r="CC19" s="3"/>
      <c r="CD19" s="3"/>
      <c r="CE19" s="1"/>
      <c r="CF19" s="1"/>
      <c r="CG19" s="3"/>
      <c r="CH19" s="3"/>
    </row>
    <row r="20" spans="1:86" ht="15">
      <c r="A20" s="14" t="s">
        <v>174</v>
      </c>
      <c r="B20" s="14" t="s">
        <v>114</v>
      </c>
      <c r="C20" s="76">
        <f>VLOOKUP((+$Q$7),$D$96:$DR$117,29)</f>
        <v>3.4</v>
      </c>
      <c r="D20" s="76">
        <f>VLOOKUP((+$Q$7),$D$96:$DR$117,39)</f>
        <v>3.27</v>
      </c>
      <c r="E20" s="99"/>
      <c r="F20" s="76">
        <f>VLOOKUP((+$Q$7),$D$96:$DR$117,49)</f>
        <v>3.04</v>
      </c>
      <c r="G20" s="99"/>
      <c r="H20" s="76">
        <f>VLOOKUP((+$Q$7),$D$96:$DR$117,59)</f>
        <v>2.5499999999999998</v>
      </c>
      <c r="I20" s="99"/>
      <c r="J20" s="76">
        <f>VLOOKUP((+$Q$7),$D$96:$DR$117,69)</f>
        <v>1.69</v>
      </c>
      <c r="O20" s="1"/>
      <c r="P20" s="2"/>
      <c r="Q20" s="2"/>
      <c r="R20" s="1"/>
      <c r="S20" s="1"/>
      <c r="T20" s="1"/>
      <c r="U20" s="1"/>
      <c r="V20" s="1"/>
      <c r="W20" s="1"/>
      <c r="X20" s="1"/>
      <c r="Y20" s="1"/>
      <c r="Z20" s="1"/>
      <c r="AA20" s="1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1"/>
      <c r="BX20" s="1"/>
      <c r="BY20" s="1"/>
      <c r="BZ20" s="1"/>
      <c r="CA20" s="1"/>
      <c r="CB20" s="1"/>
      <c r="CC20" s="3"/>
      <c r="CD20" s="3"/>
      <c r="CE20" s="1"/>
      <c r="CF20" s="1"/>
      <c r="CG20" s="3"/>
      <c r="CH20" s="3"/>
    </row>
    <row r="21" spans="1:86" ht="15">
      <c r="A21" s="14" t="s">
        <v>175</v>
      </c>
      <c r="B21" s="14" t="s">
        <v>114</v>
      </c>
      <c r="C21" s="76">
        <f>VLOOKUP((+$Q$7),$D$96:$DR$117,30)</f>
        <v>2.09</v>
      </c>
      <c r="D21" s="76">
        <f>VLOOKUP((+$Q$7),$D$96:$DR$117,40)</f>
        <v>1.97</v>
      </c>
      <c r="E21" s="99"/>
      <c r="F21" s="76">
        <f>VLOOKUP((+$Q$7),$D$96:$DR$117,50)</f>
        <v>1.69</v>
      </c>
      <c r="G21" s="99"/>
      <c r="H21" s="76">
        <f>VLOOKUP((+$Q$7),$D$96:$DR$117,60)</f>
        <v>1.43</v>
      </c>
      <c r="I21" s="99"/>
      <c r="J21" s="76">
        <f>VLOOKUP((+$Q$7),$D$96:$DR$117,70)</f>
        <v>0.98</v>
      </c>
      <c r="O21" s="1"/>
      <c r="P21" s="2"/>
      <c r="Q21" s="2"/>
      <c r="R21" s="1"/>
      <c r="S21" s="1"/>
      <c r="T21" s="1"/>
      <c r="U21" s="1"/>
      <c r="V21" s="1"/>
      <c r="W21" s="1"/>
      <c r="X21" s="1"/>
      <c r="Y21" s="1"/>
      <c r="Z21" s="1"/>
      <c r="AA21" s="1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1"/>
      <c r="BX21" s="1"/>
      <c r="BY21" s="1"/>
      <c r="BZ21" s="1"/>
      <c r="CA21" s="1"/>
      <c r="CB21" s="1"/>
      <c r="CC21" s="3"/>
      <c r="CD21" s="3"/>
      <c r="CE21" s="1"/>
      <c r="CF21" s="1"/>
      <c r="CG21" s="3"/>
      <c r="CH21" s="3"/>
    </row>
    <row r="22" spans="1:86" ht="15">
      <c r="A22" s="14" t="s">
        <v>176</v>
      </c>
      <c r="B22" s="14" t="s">
        <v>114</v>
      </c>
      <c r="C22" s="76">
        <f>VLOOKUP((+$Q$7),$D$96:$DR$117,31)</f>
        <v>1.65</v>
      </c>
      <c r="D22" s="76">
        <f>VLOOKUP((+$Q$7),$D$96:$DR$117,41)</f>
        <v>1.58</v>
      </c>
      <c r="E22" s="99"/>
      <c r="F22" s="76">
        <f>VLOOKUP((+$Q$7),$D$96:$DR$117,51)</f>
        <v>1.29</v>
      </c>
      <c r="G22" s="99"/>
      <c r="H22" s="76">
        <f>VLOOKUP((+$Q$7),$D$96:$DR$117,61)</f>
        <v>1.07</v>
      </c>
      <c r="I22" s="99"/>
      <c r="J22" s="76">
        <f>VLOOKUP((+$Q$7),$D$96:$DR$117,71)</f>
        <v>0.89</v>
      </c>
      <c r="O22" s="1"/>
      <c r="P22" s="2"/>
      <c r="Q22" s="2"/>
      <c r="R22" s="1"/>
      <c r="S22" s="1"/>
      <c r="T22" s="1"/>
      <c r="U22" s="1"/>
      <c r="V22" s="1"/>
      <c r="W22" s="1"/>
      <c r="X22" s="1"/>
      <c r="Y22" s="1"/>
      <c r="Z22" s="1"/>
      <c r="AA22" s="1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1"/>
      <c r="BX22" s="1"/>
      <c r="BY22" s="1"/>
      <c r="BZ22" s="1"/>
      <c r="CA22" s="1"/>
      <c r="CB22" s="1"/>
      <c r="CC22" s="3"/>
      <c r="CD22" s="3"/>
      <c r="CE22" s="1"/>
      <c r="CF22" s="1"/>
      <c r="CG22" s="3"/>
      <c r="CH22" s="3"/>
    </row>
    <row r="23" spans="1:86" ht="15">
      <c r="A23" s="14" t="s">
        <v>177</v>
      </c>
      <c r="B23" s="14" t="s">
        <v>114</v>
      </c>
      <c r="C23" s="76">
        <f>VLOOKUP((+$Q$7),$D$96:$DR$117,32)</f>
        <v>1.57</v>
      </c>
      <c r="D23" s="76">
        <f>VLOOKUP((+$Q$7),$D$96:$DR$117,42)</f>
        <v>1.56</v>
      </c>
      <c r="E23" s="99"/>
      <c r="F23" s="76">
        <f>VLOOKUP((+$Q$7),$D$96:$DR$117,52)</f>
        <v>1.1200000000000001</v>
      </c>
      <c r="G23" s="99"/>
      <c r="H23" s="76">
        <f>VLOOKUP((+$Q$7),$D$96:$DR$117,62)</f>
        <v>0.92</v>
      </c>
      <c r="I23" s="99"/>
      <c r="J23" s="76">
        <f>VLOOKUP((+$Q$7),$D$96:$DR$117,72)</f>
        <v>0.77</v>
      </c>
      <c r="O23" s="1"/>
      <c r="P23" s="2"/>
      <c r="Q23" s="2"/>
      <c r="R23" s="1"/>
      <c r="S23" s="1"/>
      <c r="T23" s="1"/>
      <c r="U23" s="1"/>
      <c r="V23" s="1"/>
      <c r="W23" s="1"/>
      <c r="X23" s="1"/>
      <c r="Y23" s="1"/>
      <c r="Z23" s="1"/>
      <c r="AA23" s="1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1"/>
      <c r="BX23" s="1"/>
      <c r="BY23" s="1"/>
      <c r="BZ23" s="1"/>
      <c r="CA23" s="1"/>
      <c r="CB23" s="1"/>
      <c r="CC23" s="3"/>
      <c r="CD23" s="3"/>
      <c r="CE23" s="1"/>
      <c r="CF23" s="1"/>
      <c r="CG23" s="3"/>
      <c r="CH23" s="3"/>
    </row>
    <row r="24" spans="1:86" ht="15">
      <c r="A24" s="14" t="s">
        <v>178</v>
      </c>
      <c r="B24" s="14" t="s">
        <v>114</v>
      </c>
      <c r="C24" s="76">
        <f>VLOOKUP((+$Q$7),$D$96:$DR$117,33)</f>
        <v>1.39</v>
      </c>
      <c r="D24" s="76">
        <f>VLOOKUP((+$Q$7),$D$96:$DR$117,43)</f>
        <v>1.35</v>
      </c>
      <c r="E24" s="99"/>
      <c r="F24" s="76">
        <f>VLOOKUP((+$Q$7),$D$96:$DR$117,53)</f>
        <v>1.04</v>
      </c>
      <c r="G24" s="99"/>
      <c r="H24" s="76">
        <f>VLOOKUP((+$Q$7),$D$96:$DR$117,63)</f>
        <v>0.86</v>
      </c>
      <c r="I24" s="99"/>
      <c r="J24" s="76">
        <f>VLOOKUP((+$Q$7),$D$96:$DR$117,73)</f>
        <v>0.71</v>
      </c>
      <c r="O24" s="1"/>
      <c r="P24" s="2"/>
      <c r="Q24" s="2"/>
      <c r="R24" s="1"/>
      <c r="S24" s="1"/>
      <c r="T24" s="1"/>
      <c r="U24" s="1"/>
      <c r="V24" s="1"/>
      <c r="W24" s="1"/>
      <c r="X24" s="1"/>
      <c r="Y24" s="1"/>
      <c r="Z24" s="1"/>
      <c r="AA24" s="1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1"/>
      <c r="BX24" s="1"/>
      <c r="BY24" s="1"/>
      <c r="BZ24" s="1"/>
      <c r="CA24" s="1"/>
      <c r="CB24" s="1"/>
      <c r="CC24" s="3"/>
      <c r="CD24" s="3"/>
      <c r="CE24" s="1"/>
      <c r="CF24" s="1"/>
      <c r="CG24" s="3"/>
      <c r="CH24" s="3"/>
    </row>
    <row r="25" spans="1:86" ht="15">
      <c r="A25" s="14" t="s">
        <v>179</v>
      </c>
      <c r="B25" s="14" t="s">
        <v>114</v>
      </c>
      <c r="C25" s="76">
        <f>VLOOKUP((+$Q$7),$D$96:$DR$117,34)</f>
        <v>1.24</v>
      </c>
      <c r="D25" s="76">
        <f>VLOOKUP((+$Q$7),$D$96:$DR$117,44)</f>
        <v>1.1599999999999999</v>
      </c>
      <c r="E25" s="99"/>
      <c r="F25" s="76">
        <f>VLOOKUP((+$Q$7),$D$96:$DR$117,54)</f>
        <v>0.96</v>
      </c>
      <c r="G25" s="99"/>
      <c r="H25" s="76">
        <f>VLOOKUP((+$Q$7),$D$96:$DR$117,64)</f>
        <v>0.83</v>
      </c>
      <c r="I25" s="99"/>
      <c r="J25" s="76">
        <f>VLOOKUP((+$Q$7),$D$96:$DR$117,74)</f>
        <v>0.67</v>
      </c>
      <c r="O25" s="1"/>
      <c r="P25" s="2"/>
      <c r="Q25" s="2"/>
      <c r="R25" s="1"/>
      <c r="S25" s="1"/>
      <c r="T25" s="1"/>
      <c r="U25" s="1"/>
      <c r="V25" s="1"/>
      <c r="W25" s="1"/>
      <c r="X25" s="1"/>
      <c r="Y25" s="1"/>
      <c r="Z25" s="1"/>
      <c r="AA25" s="1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1"/>
      <c r="BX25" s="1"/>
      <c r="BY25" s="1"/>
      <c r="BZ25" s="1"/>
      <c r="CA25" s="1"/>
      <c r="CB25" s="1"/>
      <c r="CC25" s="3"/>
      <c r="CD25" s="3"/>
      <c r="CE25" s="1"/>
      <c r="CF25" s="1"/>
      <c r="CG25" s="3"/>
      <c r="CH25" s="3"/>
    </row>
    <row r="26" spans="1:86" ht="15">
      <c r="A26" s="14" t="s">
        <v>180</v>
      </c>
      <c r="B26" s="14" t="s">
        <v>114</v>
      </c>
      <c r="C26" s="76">
        <f>VLOOKUP((+$Q$7),$D$96:$DR$117,35)</f>
        <v>1.3</v>
      </c>
      <c r="D26" s="76">
        <f>VLOOKUP((+$Q$7),$D$96:$DR$117,45)</f>
        <v>1.1599999999999999</v>
      </c>
      <c r="E26" s="99"/>
      <c r="F26" s="76">
        <f>VLOOKUP((+$Q$7),$D$96:$DR$117,55)</f>
        <v>0.92</v>
      </c>
      <c r="G26" s="99"/>
      <c r="H26" s="76">
        <f>VLOOKUP((+$Q$7),$D$96:$DR$117,65)</f>
        <v>0.8</v>
      </c>
      <c r="I26" s="99"/>
      <c r="J26" s="76">
        <f>VLOOKUP((+$Q$7),$D$96:$DR$117,75)</f>
        <v>0.59</v>
      </c>
      <c r="O26" s="1"/>
      <c r="P26" s="2"/>
      <c r="Q26" s="2"/>
      <c r="R26" s="1"/>
      <c r="S26" s="1"/>
      <c r="T26" s="1"/>
      <c r="U26" s="1"/>
      <c r="V26" s="1"/>
      <c r="W26" s="1"/>
      <c r="X26" s="1"/>
      <c r="Y26" s="1"/>
      <c r="Z26" s="1"/>
      <c r="AA26" s="1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1"/>
      <c r="BX26" s="1"/>
      <c r="BY26" s="1"/>
      <c r="BZ26" s="1"/>
      <c r="CA26" s="1"/>
      <c r="CB26" s="1"/>
      <c r="CC26" s="3"/>
      <c r="CD26" s="3"/>
      <c r="CE26" s="1"/>
      <c r="CF26" s="1"/>
      <c r="CG26" s="3"/>
      <c r="CH26" s="3"/>
    </row>
    <row r="27" spans="1:86" ht="15">
      <c r="A27" s="14" t="s">
        <v>181</v>
      </c>
      <c r="B27" s="14" t="s">
        <v>114</v>
      </c>
      <c r="C27" s="76">
        <f>VLOOKUP((+$Q$7),$D$96:$DR$117,36)</f>
        <v>1.08</v>
      </c>
      <c r="D27" s="76">
        <f>VLOOKUP((+$Q$7),$D$96:$DR$117,46)</f>
        <v>1.02</v>
      </c>
      <c r="E27" s="99"/>
      <c r="F27" s="76">
        <f>VLOOKUP((+$Q$7),$D$96:$DR$117,56)</f>
        <v>0.91</v>
      </c>
      <c r="G27" s="99"/>
      <c r="H27" s="76">
        <f>VLOOKUP((+$Q$7),$D$96:$DR$117,66)</f>
        <v>0.72</v>
      </c>
      <c r="I27" s="99"/>
      <c r="J27" s="76" t="str">
        <f>VLOOKUP((+$Q$7),$D$96:$DR$117,76)</f>
        <v>&lt;0,5</v>
      </c>
      <c r="O27" s="1"/>
      <c r="P27" s="2"/>
      <c r="Q27" s="2"/>
      <c r="R27" s="1"/>
      <c r="S27" s="1"/>
      <c r="T27" s="1"/>
      <c r="U27" s="1"/>
      <c r="V27" s="1"/>
      <c r="W27" s="1"/>
      <c r="X27" s="1"/>
      <c r="Y27" s="1"/>
      <c r="Z27" s="1"/>
      <c r="AA27" s="1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1"/>
      <c r="BX27" s="1"/>
      <c r="BY27" s="1"/>
      <c r="BZ27" s="1"/>
      <c r="CA27" s="1"/>
      <c r="CB27" s="1"/>
      <c r="CC27" s="3"/>
      <c r="CD27" s="3"/>
      <c r="CE27" s="1"/>
      <c r="CF27" s="1"/>
      <c r="CG27" s="3"/>
      <c r="CH27" s="3"/>
    </row>
    <row r="28" spans="1:86" ht="15">
      <c r="A28" s="14" t="s">
        <v>182</v>
      </c>
      <c r="B28" s="14" t="s">
        <v>114</v>
      </c>
      <c r="C28" s="76">
        <f>VLOOKUP((+$Q$7),$D$96:$DR$117,37)</f>
        <v>0.95</v>
      </c>
      <c r="D28" s="76">
        <f>VLOOKUP((+$Q$7),$D$96:$DR$117,47)</f>
        <v>0.95</v>
      </c>
      <c r="E28" s="99"/>
      <c r="F28" s="76">
        <f>VLOOKUP((+$Q$7),$D$96:$DR$117,57)</f>
        <v>0.87</v>
      </c>
      <c r="G28" s="99"/>
      <c r="H28" s="76">
        <f>VLOOKUP((+$Q$7),$D$96:$DR$117,67)</f>
        <v>0.71</v>
      </c>
      <c r="I28" s="99"/>
      <c r="J28" s="76"/>
      <c r="O28" s="1"/>
      <c r="P28" s="2"/>
      <c r="Q28" s="2"/>
      <c r="R28" s="1"/>
      <c r="S28" s="1"/>
      <c r="T28" s="1"/>
      <c r="U28" s="1"/>
      <c r="V28" s="1"/>
      <c r="W28" s="1"/>
      <c r="X28" s="1"/>
      <c r="Y28" s="1"/>
      <c r="Z28" s="1"/>
      <c r="AA28" s="1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1"/>
      <c r="BX28" s="1"/>
      <c r="BY28" s="1"/>
      <c r="BZ28" s="1"/>
      <c r="CA28" s="1"/>
      <c r="CB28" s="1"/>
      <c r="CC28" s="3"/>
      <c r="CD28" s="3"/>
      <c r="CE28" s="1"/>
      <c r="CF28" s="1"/>
      <c r="CG28" s="3"/>
      <c r="CH28" s="3"/>
    </row>
    <row r="29" spans="1:86" ht="15">
      <c r="A29" s="14" t="s">
        <v>183</v>
      </c>
      <c r="B29" s="14" t="s">
        <v>114</v>
      </c>
      <c r="C29" s="76">
        <f>VLOOKUP((+$Q$7),$D$96:$DR$117,38)</f>
        <v>0.96</v>
      </c>
      <c r="D29" s="76">
        <f>VLOOKUP((+$Q$7),$D$96:$DR$117,48)</f>
        <v>0.8</v>
      </c>
      <c r="E29" s="99"/>
      <c r="F29" s="76">
        <f>VLOOKUP((+$Q$7),$D$96:$DR$117,58)</f>
        <v>0.75</v>
      </c>
      <c r="G29" s="99"/>
      <c r="H29" s="76">
        <f>VLOOKUP((+$Q$7),$D$96:$DR$117,68)</f>
        <v>0.64</v>
      </c>
      <c r="I29" s="99"/>
      <c r="J29" s="76"/>
      <c r="O29" s="1"/>
      <c r="P29" s="2"/>
      <c r="Q29" s="2"/>
      <c r="R29" s="1"/>
      <c r="S29" s="1"/>
      <c r="T29" s="1"/>
      <c r="U29" s="1"/>
      <c r="V29" s="1"/>
      <c r="W29" s="1"/>
      <c r="X29" s="1"/>
      <c r="Y29" s="1"/>
      <c r="Z29" s="1"/>
      <c r="AA29" s="1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1"/>
      <c r="BX29" s="1"/>
      <c r="BY29" s="1"/>
      <c r="BZ29" s="1"/>
      <c r="CA29" s="1"/>
      <c r="CB29" s="1"/>
      <c r="CC29" s="3"/>
      <c r="CD29" s="3"/>
      <c r="CE29" s="1"/>
      <c r="CF29" s="1"/>
      <c r="CG29" s="3"/>
      <c r="CH29" s="3"/>
    </row>
    <row r="30" spans="1:86" ht="15" hidden="1">
      <c r="A30" s="14" t="s">
        <v>17</v>
      </c>
      <c r="B30" s="14" t="s">
        <v>18</v>
      </c>
      <c r="C30" s="19">
        <f>(+C19/10/3600/VLOOKUP((+$Q$7),$D$96:$CP$117,42)/3.1416/0.051/0.051)^2*0.9719*(1.5226*VLOOKUP((+$Q$7),$D$96:$CP$117,43)+0.57*VLOOKUP(($Q$7),$D$96:$CP$117,44))</f>
        <v>2.3087130704758594</v>
      </c>
      <c r="D30" s="68">
        <f>(+D19/10/3600/VLOOKUP((+$Q$7),$D$96:$CP$117,42)/3.1416/0.051/0.051)^2*0.9719*(1.5226*VLOOKUP((+$Q$7),$D$96:$CP$117,43)+0.57*VLOOKUP(($Q$7),$D$96:$CP$117,44))</f>
        <v>2.1071643025312548</v>
      </c>
      <c r="E30" s="99"/>
      <c r="F30" s="68">
        <f>(+F19/10/3600/VLOOKUP((+$Q$7),$D$96:$CP$117,42)/3.1416/0.051/0.051)^2*0.9719*(1.5226*VLOOKUP((+$Q$7),$D$96:$CP$117,43)+0.57*VLOOKUP(($Q$7),$D$96:$CP$117,44))</f>
        <v>2.020041380179296</v>
      </c>
      <c r="G30" s="99"/>
      <c r="H30" s="68">
        <f>(+H19/10/3600/VLOOKUP((+$Q$7),$D$96:$CP$117,42)/3.1416/0.051/0.051)^2*0.9719*(1.5226*VLOOKUP((+$Q$7),$D$96:$CP$117,43)+0.57*VLOOKUP(($Q$7),$D$96:$CP$117,44))</f>
        <v>1.7329570488634143</v>
      </c>
      <c r="I30" s="99"/>
      <c r="J30" s="13"/>
      <c r="O30" s="1"/>
      <c r="P30" s="2"/>
      <c r="Q30" s="2"/>
      <c r="R30" s="1"/>
      <c r="S30" s="1"/>
      <c r="T30" s="1"/>
      <c r="U30" s="1"/>
      <c r="V30" s="1"/>
      <c r="W30" s="1"/>
      <c r="X30" s="1"/>
      <c r="Y30" s="1"/>
      <c r="Z30" s="1"/>
      <c r="AA30" s="1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1"/>
      <c r="BX30" s="1"/>
      <c r="BY30" s="1"/>
      <c r="BZ30" s="1"/>
      <c r="CA30" s="1"/>
      <c r="CB30" s="1"/>
      <c r="CC30" s="3"/>
      <c r="CD30" s="3"/>
      <c r="CE30" s="1"/>
      <c r="CF30" s="1"/>
      <c r="CG30" s="3"/>
      <c r="CH30" s="3"/>
    </row>
    <row r="31" spans="1:86" ht="15" hidden="1">
      <c r="A31" s="14" t="s">
        <v>22</v>
      </c>
      <c r="B31" s="14" t="s">
        <v>23</v>
      </c>
      <c r="C31" s="21" t="str">
        <f>VLOOKUP((+$Q$7),$D$96:$CI$117,15)</f>
        <v>SAV22GNXEC</v>
      </c>
      <c r="D31" s="19"/>
      <c r="E31" s="99"/>
      <c r="F31" s="19"/>
      <c r="G31" s="99"/>
      <c r="H31" s="19"/>
      <c r="I31" s="99"/>
      <c r="J31" s="13"/>
      <c r="O31" s="1"/>
      <c r="P31" s="2"/>
      <c r="Q31" s="2"/>
      <c r="R31" s="1"/>
      <c r="S31" s="1"/>
      <c r="T31" s="1"/>
      <c r="U31" s="1"/>
      <c r="V31" s="1"/>
      <c r="W31" s="1"/>
      <c r="X31" s="1"/>
      <c r="Y31" s="1"/>
      <c r="Z31" s="1"/>
      <c r="AA31" s="1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1"/>
      <c r="BX31" s="1"/>
      <c r="BY31" s="1"/>
      <c r="BZ31" s="1"/>
      <c r="CA31" s="1"/>
      <c r="CB31" s="1"/>
      <c r="CC31" s="3"/>
      <c r="CD31" s="3"/>
      <c r="CE31" s="1"/>
      <c r="CF31" s="1"/>
      <c r="CG31" s="3"/>
      <c r="CH31" s="3"/>
    </row>
    <row r="32" spans="1:86" ht="15">
      <c r="A32" s="14" t="s">
        <v>241</v>
      </c>
      <c r="B32" s="14" t="s">
        <v>24</v>
      </c>
      <c r="C32" s="72">
        <f>VLOOKUP((+$Q$7),$D$96:$CI$117,19)</f>
        <v>50.4</v>
      </c>
      <c r="D32" s="18">
        <f>VLOOKUP((+$Q$7),$D$96:$CI$117,21)</f>
        <v>49.1</v>
      </c>
      <c r="E32" s="99"/>
      <c r="F32" s="18">
        <f>VLOOKUP((+$Q$7),$D$96:$CI$117,23)</f>
        <v>46.4</v>
      </c>
      <c r="G32" s="99"/>
      <c r="H32" s="18">
        <f>VLOOKUP((+$Q$7),$D$96:$CI$117,25)</f>
        <v>42.1</v>
      </c>
      <c r="I32" s="99"/>
      <c r="J32" s="18"/>
      <c r="O32" s="1"/>
      <c r="P32" s="2"/>
      <c r="Q32" s="2"/>
      <c r="R32" s="1"/>
      <c r="S32" s="1"/>
      <c r="T32" s="1"/>
      <c r="U32" s="1"/>
      <c r="V32" s="1"/>
      <c r="W32" s="1"/>
      <c r="X32" s="1"/>
      <c r="Y32" s="1"/>
      <c r="Z32" s="1"/>
      <c r="AA32" s="1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1"/>
      <c r="BX32" s="1"/>
      <c r="BY32" s="1"/>
      <c r="BZ32" s="1"/>
      <c r="CA32" s="1"/>
      <c r="CB32" s="1"/>
      <c r="CC32" s="3"/>
      <c r="CD32" s="3"/>
      <c r="CE32" s="1"/>
      <c r="CF32" s="1"/>
      <c r="CG32" s="3"/>
      <c r="CH32" s="3"/>
    </row>
    <row r="33" spans="1:87" ht="15">
      <c r="A33" s="14" t="s">
        <v>19</v>
      </c>
      <c r="B33" s="14"/>
      <c r="C33" s="20" t="str">
        <f>VLOOKUP((+$Q$7),$D$96:$CI$117,13)</f>
        <v>3/4"/DN20</v>
      </c>
      <c r="D33" s="69" t="str">
        <f>VLOOKUP((+$Q$7),$D$96:$CI$117,26)</f>
        <v>-----</v>
      </c>
      <c r="E33" s="69">
        <f>VLOOKUP((+$Q$7),$D$96:$CI$117,27)</f>
        <v>34.700000000000003</v>
      </c>
      <c r="F33" s="69">
        <f>VLOOKUP((+$Q$7),$D$96:$CI$117,28)</f>
        <v>0</v>
      </c>
      <c r="G33" s="69">
        <f>VLOOKUP((+$Q$7),$D$96:$CI$117,29)</f>
        <v>3.4</v>
      </c>
      <c r="H33" s="16"/>
      <c r="I33" s="16"/>
      <c r="J33" s="13"/>
      <c r="O33" s="1"/>
      <c r="P33" s="2"/>
      <c r="Q33" s="2"/>
      <c r="R33" s="1"/>
      <c r="S33" s="1"/>
      <c r="T33" s="1"/>
      <c r="U33" s="1"/>
      <c r="V33" s="1"/>
      <c r="W33" s="1"/>
      <c r="X33" s="1"/>
      <c r="Y33" s="1"/>
      <c r="Z33" s="1"/>
      <c r="AA33" s="1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1"/>
      <c r="BX33" s="1"/>
      <c r="BY33" s="1"/>
      <c r="BZ33" s="1"/>
      <c r="CA33" s="1"/>
      <c r="CB33" s="1"/>
      <c r="CC33" s="3"/>
      <c r="CD33" s="3"/>
      <c r="CE33" s="1"/>
      <c r="CF33" s="1"/>
      <c r="CG33" s="3"/>
      <c r="CH33" s="3"/>
    </row>
    <row r="34" spans="1:87" ht="15">
      <c r="A34" s="14" t="s">
        <v>20</v>
      </c>
      <c r="B34" s="14" t="s">
        <v>21</v>
      </c>
      <c r="C34" s="21">
        <f>VLOOKUP((+$Q$7),$D$96:$CI$117,14)</f>
        <v>16</v>
      </c>
      <c r="D34" s="70"/>
      <c r="E34" s="70"/>
      <c r="F34" s="19"/>
      <c r="G34" s="19"/>
      <c r="H34" s="16"/>
      <c r="I34" s="16"/>
      <c r="J34" s="13"/>
      <c r="O34" s="1"/>
      <c r="P34" s="2"/>
      <c r="Q34" s="2"/>
      <c r="R34" s="1"/>
      <c r="S34" s="1"/>
      <c r="T34" s="1"/>
      <c r="U34" s="1"/>
      <c r="V34" s="1"/>
      <c r="W34" s="1"/>
      <c r="X34" s="1"/>
      <c r="Y34" s="1"/>
      <c r="Z34" s="1"/>
      <c r="AA34" s="1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1"/>
      <c r="BX34" s="1"/>
      <c r="BY34" s="1"/>
      <c r="BZ34" s="1"/>
      <c r="CA34" s="1"/>
      <c r="CB34" s="1"/>
      <c r="CC34" s="3"/>
      <c r="CD34" s="3"/>
      <c r="CE34" s="1"/>
      <c r="CF34" s="1"/>
      <c r="CG34" s="3"/>
      <c r="CH34" s="3"/>
    </row>
    <row r="35" spans="1:87" ht="15" customHeight="1">
      <c r="A35" s="14" t="s">
        <v>25</v>
      </c>
      <c r="B35" s="14" t="s">
        <v>26</v>
      </c>
      <c r="C35" s="17">
        <f>VLOOKUP((+$Q$7),$D$96:$DR$117,80)</f>
        <v>0</v>
      </c>
      <c r="D35" s="70"/>
      <c r="E35" s="70"/>
      <c r="F35" s="19"/>
      <c r="G35" s="19"/>
      <c r="H35" s="16"/>
      <c r="I35" s="16"/>
      <c r="J35" s="13"/>
      <c r="O35" s="1"/>
      <c r="P35" s="2"/>
      <c r="Q35" s="2"/>
      <c r="R35" s="1"/>
      <c r="S35" s="1"/>
      <c r="T35" s="1"/>
      <c r="U35" s="1"/>
      <c r="V35" s="1"/>
      <c r="W35" s="1"/>
      <c r="X35" s="1"/>
      <c r="Y35" s="1"/>
      <c r="Z35" s="1"/>
      <c r="AA35" s="1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1"/>
      <c r="BX35" s="1"/>
      <c r="BY35" s="1"/>
      <c r="BZ35" s="1"/>
      <c r="CA35" s="1"/>
      <c r="CB35" s="1"/>
      <c r="CC35" s="3"/>
      <c r="CD35" s="3"/>
      <c r="CE35" s="1"/>
      <c r="CF35" s="1"/>
      <c r="CG35" s="3"/>
      <c r="CH35" s="3"/>
    </row>
    <row r="36" spans="1:87" ht="15" customHeight="1">
      <c r="A36" s="14" t="s">
        <v>27</v>
      </c>
      <c r="B36" s="14" t="s">
        <v>28</v>
      </c>
      <c r="C36" s="19">
        <f>VLOOKUP((+$Q$7),$D$96:$DR$117,81)</f>
        <v>0</v>
      </c>
      <c r="D36" s="19">
        <f>VLOOKUP((+$Q$7),$D$96:$DR$117,82)</f>
        <v>0</v>
      </c>
      <c r="E36" s="70"/>
      <c r="F36" s="19">
        <f>VLOOKUP((+$Q$7),$D$96:$DR$117,83)</f>
        <v>0</v>
      </c>
      <c r="G36" s="19"/>
      <c r="H36" s="19">
        <f>VLOOKUP((+$Q$7),$D$96:$DR$117,84)</f>
        <v>0</v>
      </c>
      <c r="I36" s="16"/>
      <c r="J36" s="19">
        <f>VLOOKUP((+$Q$7),$D$96:$DR$117,85)</f>
        <v>0</v>
      </c>
      <c r="O36" s="1"/>
      <c r="P36" s="2"/>
      <c r="Q36" s="2"/>
      <c r="R36" s="1"/>
      <c r="S36" s="1"/>
      <c r="T36" s="1"/>
      <c r="U36" s="1"/>
      <c r="V36" s="1"/>
      <c r="W36" s="1"/>
      <c r="X36" s="1"/>
      <c r="Y36" s="1"/>
      <c r="Z36" s="1"/>
      <c r="AA36" s="1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1"/>
      <c r="BX36" s="1"/>
      <c r="BY36" s="1"/>
      <c r="BZ36" s="1"/>
      <c r="CA36" s="1"/>
      <c r="CB36" s="1"/>
      <c r="CC36" s="3"/>
      <c r="CD36" s="3"/>
      <c r="CE36" s="1"/>
      <c r="CF36" s="1"/>
      <c r="CG36" s="3"/>
      <c r="CH36" s="3"/>
    </row>
    <row r="37" spans="1:87" ht="15" customHeight="1">
      <c r="A37" s="14"/>
      <c r="B37" s="14"/>
      <c r="C37" s="14"/>
      <c r="D37" s="70"/>
      <c r="E37" s="70"/>
      <c r="F37" s="19"/>
      <c r="G37" s="19"/>
      <c r="H37" s="16"/>
      <c r="I37" s="16"/>
      <c r="J37" s="13"/>
      <c r="O37" s="1"/>
      <c r="P37" s="2"/>
      <c r="Q37" s="2"/>
      <c r="R37" s="1"/>
      <c r="S37" s="1"/>
      <c r="T37" s="1"/>
      <c r="U37" s="1"/>
      <c r="V37" s="1"/>
      <c r="W37" s="1"/>
      <c r="X37" s="1"/>
      <c r="Y37" s="1"/>
      <c r="Z37" s="1"/>
      <c r="AA37" s="1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1"/>
      <c r="BX37" s="1"/>
      <c r="BY37" s="1"/>
      <c r="BZ37" s="1"/>
      <c r="CA37" s="1"/>
      <c r="CB37" s="1"/>
      <c r="CC37" s="3"/>
      <c r="CD37" s="3"/>
      <c r="CE37" s="1"/>
      <c r="CF37" s="1"/>
      <c r="CG37" s="3"/>
      <c r="CH37" s="3"/>
    </row>
    <row r="38" spans="1:87" ht="15" customHeight="1">
      <c r="A38" s="14"/>
      <c r="B38" s="14"/>
      <c r="C38" s="17"/>
      <c r="D38" s="70"/>
      <c r="E38" s="70"/>
      <c r="F38" s="19"/>
      <c r="G38" s="19"/>
      <c r="H38" s="16"/>
      <c r="I38" s="16"/>
      <c r="J38" s="13"/>
      <c r="O38" s="1"/>
      <c r="P38" s="2"/>
      <c r="Q38" s="2"/>
      <c r="R38" s="1"/>
      <c r="S38" s="1"/>
      <c r="T38" s="1"/>
      <c r="U38" s="1"/>
      <c r="V38" s="1"/>
      <c r="W38" s="1"/>
      <c r="X38" s="1"/>
      <c r="Y38" s="1"/>
      <c r="Z38" s="1"/>
      <c r="AA38" s="1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1"/>
      <c r="BX38" s="1"/>
      <c r="BY38" s="1"/>
      <c r="BZ38" s="1"/>
      <c r="CA38" s="1"/>
      <c r="CB38" s="1"/>
      <c r="CC38" s="3"/>
      <c r="CD38" s="3"/>
      <c r="CE38" s="1"/>
      <c r="CF38" s="1"/>
      <c r="CG38" s="3"/>
      <c r="CH38" s="3"/>
    </row>
    <row r="39" spans="1:87" ht="15">
      <c r="A39" s="14"/>
      <c r="B39" s="14"/>
      <c r="C39" s="19"/>
      <c r="D39" s="19"/>
      <c r="E39" s="19"/>
      <c r="F39" s="19"/>
      <c r="G39" s="19"/>
      <c r="H39" s="16"/>
      <c r="I39" s="16"/>
      <c r="J39" s="13"/>
      <c r="O39" s="1"/>
      <c r="P39" s="2"/>
      <c r="Q39" s="2"/>
      <c r="R39" s="1"/>
      <c r="S39" s="1"/>
      <c r="T39" s="1"/>
      <c r="U39" s="1"/>
      <c r="V39" s="1"/>
      <c r="W39" s="1"/>
      <c r="X39" s="1"/>
      <c r="Y39" s="1"/>
      <c r="Z39" s="1"/>
      <c r="AA39" s="1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1"/>
      <c r="BX39" s="1"/>
      <c r="BY39" s="1"/>
      <c r="BZ39" s="1"/>
      <c r="CA39" s="1"/>
      <c r="CB39" s="1"/>
      <c r="CC39" s="3"/>
      <c r="CD39" s="3"/>
      <c r="CE39" s="1"/>
      <c r="CF39" s="1"/>
      <c r="CG39" s="3"/>
      <c r="CH39" s="3"/>
    </row>
    <row r="40" spans="1:87" ht="15">
      <c r="A40" s="14"/>
      <c r="B40" s="14"/>
      <c r="C40" s="19"/>
      <c r="D40" s="19"/>
      <c r="E40" s="19"/>
      <c r="F40" s="19"/>
      <c r="G40" s="19"/>
      <c r="H40" s="16"/>
      <c r="I40" s="16"/>
      <c r="J40" s="13"/>
      <c r="O40" s="1"/>
      <c r="P40" s="2"/>
      <c r="Q40" s="2"/>
      <c r="R40" s="1"/>
      <c r="S40" s="1"/>
      <c r="T40" s="1"/>
      <c r="U40" s="1"/>
      <c r="V40" s="1"/>
      <c r="W40" s="1"/>
      <c r="X40" s="1"/>
      <c r="Y40" s="1"/>
      <c r="Z40" s="1"/>
      <c r="AA40" s="1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1"/>
      <c r="BX40" s="1"/>
      <c r="BY40" s="1"/>
      <c r="BZ40" s="1"/>
      <c r="CA40" s="1"/>
      <c r="CB40" s="1"/>
      <c r="CC40" s="3"/>
      <c r="CD40" s="3"/>
      <c r="CE40" s="1"/>
      <c r="CF40" s="1"/>
      <c r="CG40" s="3"/>
      <c r="CH40" s="3"/>
    </row>
    <row r="41" spans="1:87" ht="18">
      <c r="A41" s="95" t="s">
        <v>117</v>
      </c>
      <c r="B41" s="15"/>
      <c r="C41" s="96" t="s">
        <v>118</v>
      </c>
      <c r="D41" s="96" t="s">
        <v>119</v>
      </c>
      <c r="E41" s="19"/>
      <c r="F41" s="19"/>
      <c r="G41" s="19"/>
      <c r="H41" s="16"/>
      <c r="I41" s="16"/>
      <c r="J41" s="13"/>
      <c r="O41" s="1"/>
      <c r="P41" s="2"/>
      <c r="Q41" s="2"/>
      <c r="R41" s="1"/>
      <c r="S41" s="1"/>
      <c r="T41" s="1"/>
      <c r="U41" s="1"/>
      <c r="V41" s="1"/>
      <c r="W41" s="1"/>
      <c r="X41" s="1"/>
      <c r="Y41" s="1"/>
      <c r="Z41" s="1"/>
      <c r="AA41" s="1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1"/>
      <c r="BX41" s="1"/>
      <c r="BY41" s="1"/>
      <c r="BZ41" s="1"/>
      <c r="CA41" s="1"/>
      <c r="CB41" s="1"/>
      <c r="CC41" s="3"/>
      <c r="CD41" s="3"/>
      <c r="CE41" s="1"/>
      <c r="CF41" s="1"/>
      <c r="CG41" s="3"/>
      <c r="CH41" s="3"/>
    </row>
    <row r="42" spans="1:87" ht="15">
      <c r="A42" s="14" t="s">
        <v>187</v>
      </c>
      <c r="B42" s="14"/>
      <c r="C42" s="87" t="str">
        <f>VLOOKUP((+$Q$7),$D$96:$DR$117,15)</f>
        <v>SAV22GNXEC</v>
      </c>
      <c r="D42" s="86">
        <f>VLOOKUP((+$Q$7),$D$96:$DR$117,16)</f>
        <v>6703388</v>
      </c>
      <c r="E42" s="19"/>
      <c r="F42" s="19"/>
      <c r="G42" s="19"/>
      <c r="H42" s="16"/>
      <c r="I42" s="16"/>
      <c r="J42" s="13"/>
      <c r="O42" s="1"/>
      <c r="P42" s="2"/>
      <c r="Q42" s="2"/>
      <c r="R42" s="1"/>
      <c r="S42" s="1"/>
      <c r="T42" s="1"/>
      <c r="U42" s="1"/>
      <c r="V42" s="1"/>
      <c r="W42" s="1"/>
      <c r="X42" s="1"/>
      <c r="Y42" s="1"/>
      <c r="Z42" s="1"/>
      <c r="AA42" s="1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1"/>
      <c r="BX42" s="1"/>
      <c r="BY42" s="1"/>
      <c r="BZ42" s="1"/>
      <c r="CA42" s="1"/>
      <c r="CB42" s="1"/>
      <c r="CC42" s="3"/>
      <c r="CD42" s="3"/>
      <c r="CE42" s="1"/>
      <c r="CF42" s="1"/>
      <c r="CG42" s="3"/>
      <c r="CH42" s="3"/>
    </row>
    <row r="43" spans="1:87" ht="15">
      <c r="A43" s="14" t="s">
        <v>186</v>
      </c>
      <c r="B43" s="14"/>
      <c r="C43" s="87" t="str">
        <f>VLOOKUP((+$Q$7),$D$96:$DR$117,17)</f>
        <v>Finns ej</v>
      </c>
      <c r="D43" s="86">
        <f>VLOOKUP((+$Q$7),$D$96:$DR$117,18)</f>
        <v>0</v>
      </c>
      <c r="E43" s="19"/>
      <c r="F43" s="19"/>
      <c r="G43" s="19"/>
      <c r="H43" s="16"/>
      <c r="I43" s="16"/>
      <c r="J43" s="13"/>
      <c r="O43" s="1"/>
      <c r="P43" s="2"/>
      <c r="Q43" s="2"/>
      <c r="R43" s="1"/>
      <c r="S43" s="1"/>
      <c r="T43" s="1"/>
      <c r="U43" s="1"/>
      <c r="V43" s="1"/>
      <c r="W43" s="1"/>
      <c r="X43" s="1"/>
      <c r="Y43" s="1"/>
      <c r="Z43" s="1"/>
      <c r="AA43" s="1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1"/>
      <c r="BX43" s="1"/>
      <c r="BY43" s="1"/>
      <c r="BZ43" s="1"/>
      <c r="CA43" s="1"/>
      <c r="CB43" s="1"/>
      <c r="CC43" s="3"/>
      <c r="CD43" s="3"/>
      <c r="CE43" s="1"/>
      <c r="CF43" s="1"/>
      <c r="CG43" s="3"/>
      <c r="CH43" s="3"/>
    </row>
    <row r="44" spans="1:87" ht="19.149999999999999" customHeight="1">
      <c r="A44" s="94" t="s">
        <v>64</v>
      </c>
      <c r="B44" s="31"/>
      <c r="C44" s="31"/>
      <c r="D44" s="32"/>
      <c r="E44" s="33"/>
      <c r="F44" s="32"/>
      <c r="G44" s="13"/>
      <c r="H44" s="13"/>
      <c r="I44" s="13"/>
      <c r="J44" s="13"/>
      <c r="P44" s="1"/>
      <c r="Q44" s="2"/>
      <c r="R44" s="2"/>
      <c r="S44" s="2"/>
      <c r="T44" s="2"/>
      <c r="U44" s="2"/>
      <c r="V44" s="1"/>
      <c r="W44" s="1"/>
      <c r="X44" s="1"/>
      <c r="Y44" s="1"/>
      <c r="Z44" s="1"/>
      <c r="AA44" s="1"/>
      <c r="AB44" s="1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1"/>
      <c r="BY44" s="1"/>
      <c r="BZ44" s="1"/>
      <c r="CA44" s="1"/>
      <c r="CB44" s="1"/>
      <c r="CC44" s="1"/>
      <c r="CD44" s="3"/>
      <c r="CE44" s="3"/>
      <c r="CF44" s="1"/>
      <c r="CG44" s="1"/>
      <c r="CH44" s="3"/>
      <c r="CI44" s="3"/>
    </row>
    <row r="45" spans="1:87" ht="15" customHeight="1">
      <c r="A45" s="34" t="s">
        <v>85</v>
      </c>
      <c r="B45" s="34"/>
      <c r="C45" s="51" t="str">
        <f>VLOOKUP((+$Q$7),$D$96:$DR$117,90)</f>
        <v>SAVH2NX</v>
      </c>
      <c r="D45" s="51">
        <f>VLOOKUP((+$Q$7),$D$96:$DR$117,89)</f>
        <v>6724101</v>
      </c>
      <c r="E45" s="32"/>
      <c r="F45" s="13"/>
      <c r="G45" s="13"/>
      <c r="H45" s="13"/>
      <c r="I45" s="13"/>
      <c r="J45" s="13"/>
      <c r="O45" s="1"/>
      <c r="P45" s="2"/>
      <c r="Q45" s="2"/>
      <c r="R45" s="1"/>
      <c r="S45" s="1"/>
      <c r="T45" s="1"/>
      <c r="U45" s="1"/>
      <c r="V45" s="1"/>
      <c r="W45" s="1"/>
      <c r="X45" s="1"/>
      <c r="Y45" s="1"/>
      <c r="Z45" s="1"/>
      <c r="AA45" s="1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1"/>
      <c r="BX45" s="1"/>
      <c r="BY45" s="1"/>
      <c r="BZ45" s="1"/>
      <c r="CA45" s="1"/>
      <c r="CB45" s="1"/>
      <c r="CC45" s="3"/>
      <c r="CD45" s="3"/>
      <c r="CE45" s="1"/>
      <c r="CF45" s="1"/>
      <c r="CG45" s="3"/>
      <c r="CH45" s="3"/>
    </row>
    <row r="46" spans="1:87" ht="15" customHeight="1">
      <c r="A46" s="34" t="s">
        <v>205</v>
      </c>
      <c r="B46" s="34"/>
      <c r="C46" s="37" t="s">
        <v>206</v>
      </c>
      <c r="D46" s="103">
        <v>6726404</v>
      </c>
      <c r="E46" s="32"/>
      <c r="F46" s="13"/>
      <c r="G46" s="13"/>
      <c r="H46" s="13"/>
      <c r="I46" s="13"/>
      <c r="J46" s="13"/>
      <c r="O46" s="1"/>
      <c r="P46" s="2"/>
      <c r="Q46" s="2"/>
      <c r="R46" s="1"/>
      <c r="S46" s="1"/>
      <c r="T46" s="1"/>
      <c r="U46" s="1"/>
      <c r="V46" s="1"/>
      <c r="W46" s="1"/>
      <c r="X46" s="1"/>
      <c r="Y46" s="1"/>
      <c r="Z46" s="1"/>
      <c r="AA46" s="1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1"/>
      <c r="BX46" s="1"/>
      <c r="BY46" s="1"/>
      <c r="BZ46" s="1"/>
      <c r="CA46" s="1"/>
      <c r="CB46" s="1"/>
      <c r="CC46" s="3"/>
      <c r="CD46" s="3"/>
      <c r="CE46" s="1"/>
      <c r="CF46" s="1"/>
      <c r="CG46" s="3"/>
      <c r="CH46" s="3"/>
    </row>
    <row r="47" spans="1:87" ht="15" customHeight="1">
      <c r="A47" s="34" t="s">
        <v>105</v>
      </c>
      <c r="B47" s="34"/>
      <c r="C47" s="52" t="str">
        <f>VLOOKUP((+$Q$7),$D$96:$DV$117,99)</f>
        <v>Finns ej till NX</v>
      </c>
      <c r="D47" s="51" t="str">
        <f>VLOOKUP((+$Q$7),$D$96:$DV117,100)</f>
        <v>--</v>
      </c>
      <c r="E47" s="35"/>
      <c r="F47" s="25">
        <f>VLOOKUP((+$Q$7),$D$96:$CJ$117,38)</f>
        <v>0.96</v>
      </c>
      <c r="G47" s="13"/>
      <c r="H47" s="13"/>
      <c r="I47" s="13"/>
      <c r="J47" s="13"/>
      <c r="O47" s="1"/>
      <c r="P47" s="2"/>
      <c r="Q47" s="2"/>
      <c r="R47" s="1"/>
      <c r="S47" s="1"/>
      <c r="T47" s="1"/>
      <c r="U47" s="1"/>
      <c r="V47" s="1"/>
      <c r="W47" s="1"/>
      <c r="X47" s="1"/>
      <c r="Y47" s="1"/>
      <c r="Z47" s="1"/>
      <c r="AA47" s="1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1"/>
      <c r="BX47" s="1"/>
      <c r="BY47" s="1"/>
      <c r="BZ47" s="1"/>
      <c r="CA47" s="1"/>
      <c r="CB47" s="1"/>
      <c r="CC47" s="3"/>
      <c r="CD47" s="3"/>
      <c r="CE47" s="1"/>
      <c r="CF47" s="1"/>
      <c r="CG47" s="3"/>
      <c r="CH47" s="3"/>
    </row>
    <row r="48" spans="1:87" ht="15" customHeight="1">
      <c r="A48" s="34" t="s">
        <v>237</v>
      </c>
      <c r="B48" s="34"/>
      <c r="C48" s="52" t="str">
        <f>VLOOKUP((+$Q$7),$D$96:$DV$117,107)</f>
        <v>Finns ej till NX</v>
      </c>
      <c r="D48" s="86" t="str">
        <f>VLOOKUP((+$Q$7),$D$96:$DV$117,108)</f>
        <v>--</v>
      </c>
      <c r="E48" s="32"/>
      <c r="F48" s="13"/>
      <c r="G48" s="13"/>
      <c r="H48" s="13"/>
      <c r="I48" s="13"/>
      <c r="J48" s="13"/>
      <c r="O48" s="1"/>
      <c r="P48" s="2"/>
      <c r="Q48" s="2"/>
      <c r="R48" s="1"/>
      <c r="S48" s="1"/>
      <c r="T48" s="1"/>
      <c r="U48" s="1"/>
      <c r="V48" s="1"/>
      <c r="W48" s="1"/>
      <c r="X48" s="1"/>
      <c r="Y48" s="1"/>
      <c r="Z48" s="1"/>
      <c r="AA48" s="1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1"/>
      <c r="BX48" s="1"/>
      <c r="BY48" s="1"/>
      <c r="BZ48" s="1"/>
      <c r="CA48" s="1"/>
      <c r="CB48" s="1"/>
      <c r="CC48" s="3"/>
      <c r="CD48" s="3"/>
      <c r="CE48" s="1"/>
      <c r="CF48" s="1"/>
      <c r="CG48" s="3"/>
      <c r="CH48" s="3"/>
    </row>
    <row r="49" spans="1:86" ht="15" customHeight="1">
      <c r="A49" s="34" t="s">
        <v>102</v>
      </c>
      <c r="B49" s="34"/>
      <c r="C49" s="52" t="str">
        <f>VLOOKUP((+$Q$7),$D$96:$DV$117,101)</f>
        <v>Finns ej till NX</v>
      </c>
      <c r="D49" s="86" t="str">
        <f>VLOOKUP((+$Q$7),$D$96:$DV$117,102)</f>
        <v>--</v>
      </c>
      <c r="E49" s="32"/>
      <c r="F49" s="13"/>
      <c r="G49" s="13"/>
      <c r="H49" s="13"/>
      <c r="I49" s="13"/>
      <c r="J49" s="13"/>
      <c r="O49" s="1"/>
      <c r="P49" s="2"/>
      <c r="Q49" s="2"/>
      <c r="R49" s="1"/>
      <c r="S49" s="1"/>
      <c r="T49" s="1"/>
      <c r="U49" s="1"/>
      <c r="V49" s="1"/>
      <c r="W49" s="1"/>
      <c r="X49" s="1"/>
      <c r="Y49" s="1"/>
      <c r="Z49" s="1"/>
      <c r="AA49" s="1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1"/>
      <c r="BX49" s="1"/>
      <c r="BY49" s="1"/>
      <c r="BZ49" s="1"/>
      <c r="CA49" s="1"/>
      <c r="CB49" s="1"/>
      <c r="CC49" s="3"/>
      <c r="CD49" s="3"/>
      <c r="CE49" s="1"/>
      <c r="CF49" s="1"/>
      <c r="CG49" s="3"/>
      <c r="CH49" s="3"/>
    </row>
    <row r="50" spans="1:86" ht="15" customHeight="1">
      <c r="A50" s="34" t="s">
        <v>103</v>
      </c>
      <c r="B50" s="34"/>
      <c r="C50" s="52" t="str">
        <f>VLOOKUP((+$Q$7),$D$96:$DV$117,103)</f>
        <v>Finns ej till NX</v>
      </c>
      <c r="D50" s="86" t="str">
        <f>VLOOKUP((+$Q$7),$D$96:$DV$117,104)</f>
        <v>--</v>
      </c>
      <c r="E50" s="36"/>
      <c r="F50" s="14"/>
      <c r="G50" s="13"/>
      <c r="H50" s="13"/>
      <c r="I50" s="13"/>
      <c r="J50" s="13"/>
      <c r="O50" s="1"/>
      <c r="P50" s="2"/>
      <c r="Q50" s="2"/>
      <c r="R50" s="1"/>
      <c r="S50" s="1"/>
      <c r="T50" s="1"/>
      <c r="U50" s="1"/>
      <c r="V50" s="1"/>
      <c r="W50" s="1"/>
      <c r="X50" s="1"/>
      <c r="Y50" s="1"/>
      <c r="Z50" s="1"/>
      <c r="AA50" s="1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1"/>
      <c r="BX50" s="1"/>
      <c r="BY50" s="1"/>
      <c r="BZ50" s="1"/>
      <c r="CA50" s="1"/>
      <c r="CB50" s="1"/>
      <c r="CC50" s="3"/>
      <c r="CD50" s="3"/>
      <c r="CE50" s="1"/>
      <c r="CF50" s="1"/>
      <c r="CG50" s="3"/>
      <c r="CH50" s="3"/>
    </row>
    <row r="51" spans="1:86" ht="15" customHeight="1">
      <c r="A51" s="34" t="s">
        <v>238</v>
      </c>
      <c r="B51" s="34"/>
      <c r="C51" s="52" t="str">
        <f>VLOOKUP((+$Q$7),$D$96:$DV$117,109)</f>
        <v>Finns ej till NX</v>
      </c>
      <c r="D51" s="86" t="str">
        <f>VLOOKUP((+$Q$7),$D$96:$DV$117,110)</f>
        <v>--</v>
      </c>
      <c r="E51" s="36"/>
      <c r="F51" s="14"/>
      <c r="G51" s="13"/>
      <c r="H51" s="13"/>
      <c r="I51" s="13"/>
      <c r="J51" s="13"/>
      <c r="O51" s="1"/>
      <c r="P51" s="2"/>
      <c r="Q51" s="2"/>
      <c r="R51" s="1"/>
      <c r="S51" s="1"/>
      <c r="T51" s="1"/>
      <c r="U51" s="1"/>
      <c r="V51" s="1"/>
      <c r="W51" s="1"/>
      <c r="X51" s="1"/>
      <c r="Y51" s="1"/>
      <c r="Z51" s="1"/>
      <c r="AA51" s="1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1"/>
      <c r="BX51" s="1"/>
      <c r="BY51" s="1"/>
      <c r="BZ51" s="1"/>
      <c r="CA51" s="1"/>
      <c r="CB51" s="1"/>
      <c r="CC51" s="3"/>
      <c r="CD51" s="3"/>
      <c r="CE51" s="1"/>
      <c r="CF51" s="1"/>
      <c r="CG51" s="3"/>
      <c r="CH51" s="3"/>
    </row>
    <row r="52" spans="1:86" ht="15" customHeight="1">
      <c r="A52" s="34" t="s">
        <v>239</v>
      </c>
      <c r="B52" s="34"/>
      <c r="C52" s="52" t="str">
        <f>VLOOKUP((+$Q$7),$D$96:$DV$117,97)</f>
        <v>Finns ej till NX</v>
      </c>
      <c r="D52" s="86" t="str">
        <f>VLOOKUP((+$Q$7),$D$96:$DV$117,98)</f>
        <v>--</v>
      </c>
      <c r="E52" s="36"/>
      <c r="F52" s="14"/>
      <c r="G52" s="13"/>
      <c r="H52" s="13"/>
      <c r="I52" s="13"/>
      <c r="J52" s="13"/>
      <c r="O52" s="1"/>
      <c r="P52" s="2"/>
      <c r="Q52" s="2"/>
      <c r="R52" s="1"/>
      <c r="S52" s="1"/>
      <c r="T52" s="1"/>
      <c r="U52" s="1"/>
      <c r="V52" s="1"/>
      <c r="W52" s="1"/>
      <c r="X52" s="1"/>
      <c r="Y52" s="1"/>
      <c r="Z52" s="1"/>
      <c r="AA52" s="1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1"/>
      <c r="BX52" s="1"/>
      <c r="BY52" s="1"/>
      <c r="BZ52" s="1"/>
      <c r="CA52" s="1"/>
      <c r="CB52" s="1"/>
      <c r="CC52" s="3"/>
      <c r="CD52" s="3"/>
      <c r="CE52" s="1"/>
      <c r="CF52" s="1"/>
      <c r="CG52" s="3"/>
      <c r="CH52" s="3"/>
    </row>
    <row r="53" spans="1:86" ht="15" customHeight="1">
      <c r="A53" s="34" t="s">
        <v>104</v>
      </c>
      <c r="B53" s="34"/>
      <c r="C53" s="52" t="str">
        <f>VLOOKUP((+$Q$7),$D$96:$DV$117,105)</f>
        <v>Finns ej till NX</v>
      </c>
      <c r="D53" s="86" t="str">
        <f>VLOOKUP((+$Q$7),$D$96:$DV$117,106)</f>
        <v>--</v>
      </c>
      <c r="E53" s="36"/>
      <c r="F53" s="14"/>
      <c r="G53" s="13"/>
      <c r="H53" s="13"/>
      <c r="I53" s="13"/>
      <c r="J53" s="13"/>
      <c r="O53" s="1"/>
      <c r="P53" s="2"/>
      <c r="Q53" s="2"/>
      <c r="R53" s="1"/>
      <c r="S53" s="1"/>
      <c r="T53" s="1"/>
      <c r="U53" s="1"/>
      <c r="V53" s="1"/>
      <c r="W53" s="1"/>
      <c r="X53" s="1"/>
      <c r="Y53" s="1"/>
      <c r="Z53" s="1"/>
      <c r="AA53" s="1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1"/>
      <c r="BX53" s="1"/>
      <c r="BY53" s="1"/>
      <c r="BZ53" s="1"/>
      <c r="CA53" s="1"/>
      <c r="CB53" s="1"/>
      <c r="CC53" s="3"/>
      <c r="CD53" s="3"/>
      <c r="CE53" s="1"/>
      <c r="CF53" s="1"/>
      <c r="CG53" s="3"/>
      <c r="CH53" s="3"/>
    </row>
    <row r="54" spans="1:86" ht="15" customHeight="1">
      <c r="A54" s="94" t="s">
        <v>137</v>
      </c>
      <c r="B54" s="34"/>
      <c r="C54" s="74"/>
      <c r="D54" s="51"/>
      <c r="E54" s="36"/>
      <c r="F54" s="14"/>
      <c r="G54" s="13"/>
      <c r="H54" s="13"/>
      <c r="I54" s="13"/>
      <c r="J54" s="13"/>
      <c r="O54" s="1"/>
      <c r="P54" s="2"/>
      <c r="Q54" s="2"/>
      <c r="R54" s="1"/>
      <c r="S54" s="1"/>
      <c r="T54" s="1"/>
      <c r="U54" s="1"/>
      <c r="V54" s="1"/>
      <c r="W54" s="1"/>
      <c r="X54" s="1"/>
      <c r="Y54" s="1"/>
      <c r="Z54" s="1"/>
      <c r="AA54" s="1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1"/>
      <c r="BX54" s="1"/>
      <c r="BY54" s="1"/>
      <c r="BZ54" s="1"/>
      <c r="CA54" s="1"/>
      <c r="CB54" s="1"/>
      <c r="CC54" s="3"/>
      <c r="CD54" s="3"/>
      <c r="CE54" s="1"/>
      <c r="CF54" s="1"/>
      <c r="CG54" s="3"/>
      <c r="CH54" s="3"/>
    </row>
    <row r="55" spans="1:86" ht="15" customHeight="1">
      <c r="A55" s="34" t="s">
        <v>151</v>
      </c>
      <c r="B55" s="34"/>
      <c r="C55" s="74" t="s">
        <v>155</v>
      </c>
      <c r="D55" s="51">
        <v>6704772</v>
      </c>
      <c r="E55" s="93"/>
      <c r="F55" s="14"/>
      <c r="G55" s="13"/>
      <c r="H55" s="13"/>
      <c r="I55" s="13"/>
      <c r="J55" s="13"/>
      <c r="O55" s="1"/>
      <c r="P55" s="2"/>
      <c r="Q55" s="2"/>
      <c r="R55" s="1"/>
      <c r="S55" s="1"/>
      <c r="T55" s="1"/>
      <c r="U55" s="1"/>
      <c r="V55" s="1"/>
      <c r="W55" s="1"/>
      <c r="X55" s="1"/>
      <c r="Y55" s="1"/>
      <c r="Z55" s="1"/>
      <c r="AA55" s="1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1"/>
      <c r="BX55" s="1"/>
      <c r="BY55" s="1"/>
      <c r="BZ55" s="1"/>
      <c r="CA55" s="1"/>
      <c r="CB55" s="1"/>
      <c r="CC55" s="3"/>
      <c r="CD55" s="3"/>
      <c r="CE55" s="1"/>
      <c r="CF55" s="1"/>
      <c r="CG55" s="3"/>
      <c r="CH55" s="3"/>
    </row>
    <row r="56" spans="1:86" ht="15" customHeight="1">
      <c r="A56" s="34" t="s">
        <v>151</v>
      </c>
      <c r="B56" s="37"/>
      <c r="C56" s="39" t="s">
        <v>153</v>
      </c>
      <c r="D56" s="51">
        <v>6704695</v>
      </c>
      <c r="E56" s="36"/>
      <c r="F56" s="14"/>
      <c r="G56" s="13"/>
      <c r="H56" s="13"/>
      <c r="I56" s="13"/>
      <c r="J56" s="13"/>
      <c r="O56" s="1"/>
      <c r="P56" s="2"/>
      <c r="Q56" s="2"/>
      <c r="R56" s="1"/>
      <c r="S56" s="1"/>
      <c r="T56" s="1"/>
      <c r="U56" s="1"/>
      <c r="V56" s="1"/>
      <c r="W56" s="1"/>
      <c r="X56" s="1"/>
      <c r="Y56" s="1"/>
      <c r="Z56" s="1"/>
      <c r="AA56" s="1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1"/>
      <c r="BX56" s="1"/>
      <c r="BY56" s="1"/>
      <c r="BZ56" s="1"/>
      <c r="CA56" s="1"/>
      <c r="CB56" s="1"/>
      <c r="CC56" s="3"/>
      <c r="CD56" s="3"/>
      <c r="CE56" s="1"/>
      <c r="CF56" s="1"/>
      <c r="CG56" s="3"/>
      <c r="CH56" s="3"/>
    </row>
    <row r="57" spans="1:86" ht="15" customHeight="1">
      <c r="A57" s="34" t="s">
        <v>152</v>
      </c>
      <c r="B57" s="37"/>
      <c r="C57" s="39" t="s">
        <v>154</v>
      </c>
      <c r="D57" s="51">
        <v>6704701</v>
      </c>
      <c r="E57" s="36"/>
      <c r="F57" s="14"/>
      <c r="G57" s="13"/>
      <c r="H57" s="13"/>
      <c r="I57" s="13"/>
      <c r="J57" s="13"/>
      <c r="O57" s="1"/>
      <c r="P57" s="2"/>
      <c r="Q57" s="2"/>
      <c r="R57" s="1"/>
      <c r="S57" s="1"/>
      <c r="T57" s="1"/>
      <c r="U57" s="1"/>
      <c r="V57" s="1"/>
      <c r="W57" s="1"/>
      <c r="X57" s="1"/>
      <c r="Y57" s="1"/>
      <c r="Z57" s="1"/>
      <c r="AA57" s="1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1"/>
      <c r="BX57" s="1"/>
      <c r="BY57" s="1"/>
      <c r="BZ57" s="1"/>
      <c r="CA57" s="1"/>
      <c r="CB57" s="1"/>
      <c r="CC57" s="3"/>
      <c r="CD57" s="3"/>
      <c r="CE57" s="1"/>
      <c r="CF57" s="1"/>
      <c r="CG57" s="3"/>
      <c r="CH57" s="3"/>
    </row>
    <row r="58" spans="1:86" ht="15" customHeight="1">
      <c r="A58" s="37" t="s">
        <v>136</v>
      </c>
      <c r="B58" s="37"/>
      <c r="C58" s="39"/>
      <c r="D58" s="51"/>
      <c r="E58" s="38"/>
      <c r="F58" s="13"/>
      <c r="G58" s="13"/>
      <c r="H58" s="13"/>
      <c r="I58" s="42"/>
      <c r="J58" s="13"/>
      <c r="O58" s="1"/>
      <c r="P58" s="2"/>
      <c r="Q58" s="2"/>
      <c r="R58" s="1"/>
      <c r="S58" s="1"/>
      <c r="T58" s="1"/>
      <c r="U58" s="1"/>
      <c r="V58" s="1"/>
      <c r="W58" s="1"/>
      <c r="X58" s="1"/>
      <c r="Y58" s="1"/>
      <c r="Z58" s="1"/>
      <c r="AA58" s="1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1"/>
      <c r="BX58" s="1"/>
      <c r="BY58" s="1"/>
      <c r="BZ58" s="1"/>
      <c r="CA58" s="1"/>
      <c r="CB58" s="1"/>
      <c r="CC58" s="3"/>
      <c r="CD58" s="3"/>
      <c r="CE58" s="1"/>
      <c r="CF58" s="1"/>
      <c r="CG58" s="3"/>
      <c r="CH58" s="3"/>
    </row>
    <row r="59" spans="1:86" ht="15" customHeight="1">
      <c r="A59" s="42" t="s">
        <v>110</v>
      </c>
      <c r="B59" s="42"/>
      <c r="C59" s="43" t="s">
        <v>111</v>
      </c>
      <c r="D59" s="51">
        <v>6727593</v>
      </c>
      <c r="E59" s="38"/>
      <c r="F59" s="13"/>
      <c r="G59" s="13"/>
      <c r="H59" s="13"/>
      <c r="J59" s="13"/>
      <c r="O59" s="1"/>
      <c r="P59" s="2"/>
      <c r="Q59" s="2"/>
      <c r="R59" s="1"/>
      <c r="S59" s="1"/>
      <c r="T59" s="1"/>
      <c r="U59" s="1"/>
      <c r="V59" s="1"/>
      <c r="W59" s="1"/>
      <c r="X59" s="1"/>
      <c r="Y59" s="1"/>
      <c r="Z59" s="1"/>
      <c r="AA59" s="1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1"/>
      <c r="BX59" s="1"/>
      <c r="BY59" s="1"/>
      <c r="BZ59" s="1"/>
      <c r="CA59" s="1"/>
      <c r="CB59" s="1"/>
      <c r="CC59" s="3"/>
      <c r="CD59" s="3"/>
      <c r="CE59" s="1"/>
      <c r="CF59" s="1"/>
      <c r="CG59" s="3"/>
      <c r="CH59" s="3"/>
    </row>
    <row r="60" spans="1:86" ht="15" customHeight="1">
      <c r="A60" s="42" t="s">
        <v>124</v>
      </c>
      <c r="B60" s="44"/>
      <c r="C60" s="43" t="str">
        <f>IF($C19&lt;1100,HLOOKUP(3,$A$75:$G$84,3),IF($C19&lt;2100,HLOOKUP(3,$A$75:$G$84,4,),IF($C19&lt;3700,HLOOKUP(3,$A$75:$G$84,5,))))</f>
        <v>TACP20</v>
      </c>
      <c r="D60" s="43">
        <f>IF($C19&lt;1100,HLOOKUP(4,$A$75:$G$84,3),IF($C19&lt;2100,HLOOKUP(4,$A$75:$G$84,4,),IF($C19&lt;3700,HLOOKUP(4,$A$75:$G$84,5,))))</f>
        <v>6704518</v>
      </c>
      <c r="E60" s="43" t="str">
        <f>IF($C19&lt;1100,HLOOKUP(5,$A$75:$G$84,3),IF($C19&lt;2100,HLOOKUP(5,$A$75:$G$84,4,),IF($C19&lt;3700,HLOOKUP(5,$A$75:$G$84,5,))))</f>
        <v>Klarar 210-1150l/h</v>
      </c>
      <c r="F60" s="13"/>
      <c r="G60" s="13"/>
      <c r="H60" s="13"/>
      <c r="I60" s="13"/>
      <c r="J60" s="13"/>
      <c r="O60" s="1"/>
      <c r="P60" s="2"/>
      <c r="Q60" s="2"/>
      <c r="R60" s="1"/>
      <c r="S60" s="1"/>
      <c r="T60" s="1"/>
      <c r="U60" s="1"/>
      <c r="V60" s="1"/>
      <c r="W60" s="1"/>
      <c r="X60" s="1"/>
      <c r="Y60" s="1"/>
      <c r="Z60" s="1"/>
      <c r="AA60" s="1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1"/>
      <c r="BX60" s="1"/>
      <c r="BY60" s="1"/>
      <c r="BZ60" s="1"/>
      <c r="CA60" s="1"/>
      <c r="CB60" s="1"/>
      <c r="CC60" s="3"/>
      <c r="CD60" s="3"/>
      <c r="CE60" s="1"/>
      <c r="CF60" s="1"/>
      <c r="CG60" s="3"/>
      <c r="CH60" s="3"/>
    </row>
    <row r="61" spans="1:86" ht="15" customHeight="1">
      <c r="A61" s="37" t="s">
        <v>135</v>
      </c>
      <c r="B61" s="44"/>
      <c r="C61" s="39" t="s">
        <v>65</v>
      </c>
      <c r="D61" s="43">
        <v>6750078</v>
      </c>
      <c r="E61" s="41"/>
      <c r="F61" s="13"/>
      <c r="G61" s="13"/>
      <c r="H61" s="13"/>
      <c r="J61" s="13"/>
      <c r="O61" s="1"/>
      <c r="P61" s="2"/>
      <c r="Q61" s="2"/>
      <c r="R61" s="1"/>
      <c r="S61" s="1"/>
      <c r="T61" s="1"/>
      <c r="U61" s="1"/>
      <c r="V61" s="1"/>
      <c r="W61" s="1"/>
      <c r="X61" s="1"/>
      <c r="Y61" s="1"/>
      <c r="Z61" s="1"/>
      <c r="AA61" s="1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1"/>
      <c r="BX61" s="1"/>
      <c r="BY61" s="1"/>
      <c r="BZ61" s="1"/>
      <c r="CA61" s="1"/>
      <c r="CB61" s="1"/>
      <c r="CC61" s="3"/>
      <c r="CD61" s="3"/>
      <c r="CE61" s="1"/>
      <c r="CF61" s="1"/>
      <c r="CG61" s="3"/>
      <c r="CH61" s="3"/>
    </row>
    <row r="62" spans="1:86" ht="15" customHeight="1">
      <c r="A62" s="37" t="s">
        <v>134</v>
      </c>
      <c r="B62" s="42"/>
      <c r="C62" s="39" t="s">
        <v>66</v>
      </c>
      <c r="D62" s="43">
        <v>6750079</v>
      </c>
      <c r="E62" s="41"/>
      <c r="F62" s="13"/>
      <c r="G62" s="13"/>
      <c r="H62" s="13"/>
      <c r="I62" s="13"/>
      <c r="J62" s="13"/>
      <c r="O62" s="1"/>
      <c r="P62" s="2"/>
      <c r="Q62" s="2"/>
      <c r="R62" s="1"/>
      <c r="S62" s="1"/>
      <c r="T62" s="1"/>
      <c r="U62" s="1"/>
      <c r="V62" s="1"/>
      <c r="W62" s="1"/>
      <c r="X62" s="1"/>
      <c r="Y62" s="1"/>
      <c r="Z62" s="1"/>
      <c r="AA62" s="1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1"/>
      <c r="BX62" s="1"/>
      <c r="BY62" s="1"/>
      <c r="BZ62" s="1"/>
      <c r="CA62" s="1"/>
      <c r="CB62" s="1"/>
      <c r="CC62" s="3"/>
      <c r="CD62" s="3"/>
      <c r="CE62" s="1"/>
      <c r="CF62" s="1"/>
      <c r="CG62" s="3"/>
      <c r="CH62" s="3"/>
    </row>
    <row r="63" spans="1:86" ht="15" customHeight="1">
      <c r="A63" s="37" t="s">
        <v>133</v>
      </c>
      <c r="B63" s="42"/>
      <c r="C63" s="39" t="s">
        <v>67</v>
      </c>
      <c r="D63" s="43">
        <v>6750080</v>
      </c>
      <c r="E63" s="41"/>
      <c r="F63" s="13"/>
      <c r="G63" s="13"/>
      <c r="H63" s="13"/>
      <c r="I63" s="13"/>
      <c r="J63" s="13"/>
      <c r="O63" s="1"/>
      <c r="P63" s="2"/>
      <c r="Q63" s="2"/>
      <c r="R63" s="1"/>
      <c r="S63" s="1"/>
      <c r="T63" s="1"/>
      <c r="U63" s="1"/>
      <c r="V63" s="1"/>
      <c r="W63" s="1"/>
      <c r="X63" s="1"/>
      <c r="Y63" s="1"/>
      <c r="Z63" s="1"/>
      <c r="AA63" s="1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1"/>
      <c r="BX63" s="1"/>
      <c r="BY63" s="1"/>
      <c r="BZ63" s="1"/>
      <c r="CA63" s="1"/>
      <c r="CB63" s="1"/>
      <c r="CC63" s="3"/>
      <c r="CD63" s="3"/>
      <c r="CE63" s="1"/>
      <c r="CF63" s="1"/>
      <c r="CG63" s="3"/>
      <c r="CH63" s="3"/>
    </row>
    <row r="64" spans="1:86" ht="15">
      <c r="A64" s="37" t="s">
        <v>72</v>
      </c>
      <c r="B64" s="42"/>
      <c r="C64" s="39" t="s">
        <v>68</v>
      </c>
      <c r="D64" s="39"/>
      <c r="E64" s="41"/>
      <c r="F64" s="13"/>
      <c r="G64" s="13"/>
      <c r="H64" s="13"/>
      <c r="I64" s="13"/>
      <c r="J64" s="13"/>
      <c r="O64" s="1"/>
      <c r="P64" s="2"/>
      <c r="Q64" s="2"/>
      <c r="R64" s="1"/>
      <c r="S64" s="1"/>
      <c r="T64" s="1"/>
      <c r="U64" s="1"/>
      <c r="V64" s="1"/>
      <c r="W64" s="1"/>
      <c r="X64" s="1"/>
      <c r="Y64" s="1"/>
      <c r="Z64" s="1"/>
      <c r="AA64" s="1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1"/>
      <c r="BX64" s="1"/>
      <c r="BY64" s="1"/>
      <c r="BZ64" s="1"/>
      <c r="CA64" s="1"/>
      <c r="CB64" s="1"/>
      <c r="CC64" s="3"/>
      <c r="CD64" s="3"/>
      <c r="CE64" s="1"/>
      <c r="CF64" s="1"/>
      <c r="CG64" s="3"/>
      <c r="CH64" s="3"/>
    </row>
    <row r="65" spans="1:94" ht="15">
      <c r="A65" s="37" t="s">
        <v>61</v>
      </c>
      <c r="C65" s="39" t="s">
        <v>127</v>
      </c>
      <c r="D65" s="43">
        <v>6750086</v>
      </c>
      <c r="E65" s="37" t="s">
        <v>129</v>
      </c>
      <c r="F65" s="41"/>
      <c r="G65" s="13"/>
      <c r="H65" s="13"/>
      <c r="I65" s="13"/>
      <c r="J65" s="13"/>
      <c r="P65" s="1"/>
      <c r="Q65" s="2"/>
      <c r="R65" s="2"/>
      <c r="S65" s="2"/>
      <c r="T65" s="2"/>
      <c r="U65" s="2"/>
      <c r="V65" s="1"/>
      <c r="W65" s="1"/>
      <c r="X65" s="1"/>
      <c r="Y65" s="1"/>
      <c r="Z65" s="1"/>
      <c r="AA65" s="1"/>
      <c r="AB65" s="1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1"/>
      <c r="BY65" s="1"/>
      <c r="BZ65" s="1"/>
      <c r="CA65" s="1"/>
      <c r="CB65" s="1"/>
      <c r="CC65" s="1"/>
      <c r="CD65" s="3"/>
      <c r="CE65" s="3"/>
      <c r="CF65" s="1"/>
      <c r="CG65" s="1"/>
      <c r="CH65" s="3"/>
      <c r="CI65" s="3"/>
    </row>
    <row r="66" spans="1:94" ht="15">
      <c r="A66" s="43"/>
      <c r="B66" s="42"/>
      <c r="C66" s="43"/>
      <c r="D66" s="43"/>
      <c r="E66" s="42"/>
      <c r="F66" s="41"/>
      <c r="G66" s="13"/>
      <c r="H66" s="13"/>
      <c r="I66" s="13"/>
      <c r="J66" s="13"/>
      <c r="P66" s="1"/>
      <c r="Q66" s="2"/>
      <c r="R66" s="2"/>
      <c r="S66" s="2"/>
      <c r="T66" s="2"/>
      <c r="U66" s="2"/>
      <c r="V66" s="1"/>
      <c r="W66" s="1"/>
      <c r="X66" s="1"/>
      <c r="Y66" s="1"/>
      <c r="Z66" s="1"/>
      <c r="AA66" s="1"/>
      <c r="AB66" s="1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1"/>
      <c r="BY66" s="1"/>
      <c r="BZ66" s="1"/>
      <c r="CA66" s="1"/>
      <c r="CB66" s="1"/>
      <c r="CC66" s="1"/>
      <c r="CD66" s="3"/>
      <c r="CE66" s="3"/>
      <c r="CF66" s="1"/>
      <c r="CG66" s="1"/>
      <c r="CH66" s="3"/>
      <c r="CI66" s="3"/>
    </row>
    <row r="67" spans="1:94" ht="15">
      <c r="A67" s="42"/>
      <c r="B67" s="42"/>
      <c r="C67" s="42"/>
      <c r="D67" s="43"/>
      <c r="E67" s="42"/>
      <c r="F67" s="41"/>
      <c r="G67" s="13"/>
      <c r="H67" s="13"/>
      <c r="I67" s="13"/>
      <c r="J67" s="13"/>
      <c r="P67" s="1"/>
      <c r="Q67" s="2"/>
      <c r="R67" s="2"/>
      <c r="S67" s="2"/>
      <c r="T67" s="2"/>
      <c r="U67" s="2"/>
      <c r="V67" s="1"/>
      <c r="W67" s="1"/>
      <c r="X67" s="1"/>
      <c r="Y67" s="1"/>
      <c r="Z67" s="1"/>
      <c r="AA67" s="1"/>
      <c r="AB67" s="1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1"/>
      <c r="BY67" s="1"/>
      <c r="BZ67" s="1"/>
      <c r="CA67" s="1"/>
      <c r="CB67" s="1"/>
      <c r="CC67" s="1"/>
      <c r="CD67" s="3"/>
      <c r="CE67" s="3"/>
      <c r="CF67" s="1"/>
      <c r="CG67" s="1"/>
      <c r="CH67" s="3"/>
      <c r="CI67" s="3"/>
    </row>
    <row r="68" spans="1:94" ht="15">
      <c r="A68" s="42"/>
      <c r="B68" s="42"/>
      <c r="C68" s="42"/>
      <c r="D68" s="43"/>
      <c r="E68" s="42"/>
      <c r="F68" s="41"/>
      <c r="G68" s="13"/>
      <c r="H68" s="13"/>
      <c r="I68" s="13"/>
      <c r="J68" s="13"/>
      <c r="P68" s="1"/>
      <c r="Q68" s="2"/>
      <c r="R68" s="2"/>
      <c r="S68" s="2"/>
      <c r="T68" s="2"/>
      <c r="U68" s="2"/>
      <c r="V68" s="1"/>
      <c r="W68" s="1"/>
      <c r="X68" s="1"/>
      <c r="Y68" s="1"/>
      <c r="Z68" s="1"/>
      <c r="AA68" s="1"/>
      <c r="AB68" s="1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1"/>
      <c r="BY68" s="1"/>
      <c r="BZ68" s="1"/>
      <c r="CA68" s="1"/>
      <c r="CB68" s="1"/>
      <c r="CC68" s="1"/>
      <c r="CD68" s="3"/>
      <c r="CE68" s="3"/>
      <c r="CF68" s="1"/>
      <c r="CG68" s="1"/>
      <c r="CH68" s="3"/>
      <c r="CI68" s="3"/>
    </row>
    <row r="69" spans="1:94" ht="15">
      <c r="A69" s="42"/>
      <c r="B69" s="42"/>
      <c r="C69" s="42"/>
      <c r="D69" s="43"/>
      <c r="E69" s="42"/>
      <c r="F69" s="41"/>
      <c r="G69" s="13"/>
      <c r="H69" s="13"/>
      <c r="I69" s="13"/>
      <c r="J69" s="13"/>
      <c r="P69" s="1"/>
      <c r="Q69" s="2"/>
      <c r="R69" s="2"/>
      <c r="S69" s="2"/>
      <c r="T69" s="2"/>
      <c r="U69" s="2"/>
      <c r="V69" s="1"/>
      <c r="W69" s="1"/>
      <c r="X69" s="1"/>
      <c r="Y69" s="1"/>
      <c r="Z69" s="1"/>
      <c r="AA69" s="1"/>
      <c r="AB69" s="1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1"/>
      <c r="BY69" s="1"/>
      <c r="BZ69" s="1"/>
      <c r="CA69" s="1"/>
      <c r="CB69" s="1"/>
      <c r="CC69" s="1"/>
      <c r="CD69" s="3"/>
      <c r="CE69" s="3"/>
      <c r="CF69" s="1"/>
      <c r="CG69" s="1"/>
      <c r="CH69" s="3"/>
      <c r="CI69" s="3"/>
    </row>
    <row r="70" spans="1:94" ht="18">
      <c r="A70" s="42"/>
      <c r="B70" s="42"/>
      <c r="C70" s="42"/>
      <c r="D70" s="43"/>
      <c r="E70" s="42"/>
      <c r="F70" s="38"/>
      <c r="G70" s="13"/>
      <c r="H70" s="13"/>
      <c r="I70" s="13"/>
      <c r="J70" s="13"/>
      <c r="P70" s="1"/>
      <c r="Q70" s="2"/>
      <c r="R70" s="2"/>
      <c r="S70" s="2"/>
      <c r="T70" s="2"/>
      <c r="U70" s="2"/>
      <c r="V70" s="1"/>
      <c r="W70" s="1"/>
      <c r="X70" s="1"/>
      <c r="Y70" s="1"/>
      <c r="Z70" s="1"/>
      <c r="AA70" s="1"/>
      <c r="AB70" s="1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1"/>
      <c r="BY70" s="1"/>
      <c r="BZ70" s="1"/>
      <c r="CA70" s="1"/>
      <c r="CB70" s="1"/>
      <c r="CC70" s="1"/>
      <c r="CD70" s="3"/>
      <c r="CE70" s="3"/>
      <c r="CF70" s="1"/>
      <c r="CG70" s="1"/>
      <c r="CH70" s="3"/>
      <c r="CI70" s="3"/>
    </row>
    <row r="71" spans="1:94" ht="18">
      <c r="A71" s="42"/>
      <c r="B71" s="42"/>
      <c r="C71" s="42"/>
      <c r="D71" s="43"/>
      <c r="E71" s="42"/>
      <c r="F71" s="38"/>
      <c r="G71" s="13"/>
      <c r="H71" s="13"/>
      <c r="I71" s="13"/>
      <c r="J71" s="13"/>
      <c r="P71" s="1"/>
      <c r="Q71" s="2"/>
      <c r="R71" s="2"/>
      <c r="S71" s="2"/>
      <c r="T71" s="2"/>
      <c r="U71" s="2"/>
      <c r="V71" s="1"/>
      <c r="W71" s="1"/>
      <c r="X71" s="1"/>
      <c r="Y71" s="1"/>
      <c r="Z71" s="1"/>
      <c r="AA71" s="1"/>
      <c r="AB71" s="1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1"/>
      <c r="BY71" s="1"/>
      <c r="BZ71" s="1"/>
      <c r="CA71" s="1"/>
      <c r="CB71" s="1"/>
      <c r="CC71" s="1"/>
      <c r="CD71" s="3"/>
      <c r="CE71" s="3"/>
      <c r="CF71" s="1"/>
      <c r="CG71" s="1"/>
      <c r="CH71" s="3"/>
      <c r="CI71" s="3"/>
    </row>
    <row r="72" spans="1:94" ht="18">
      <c r="A72" s="28"/>
      <c r="B72" s="28"/>
      <c r="C72" s="28"/>
      <c r="D72" s="29"/>
      <c r="E72" s="37"/>
      <c r="F72" s="38"/>
      <c r="G72" s="13"/>
      <c r="H72" s="13"/>
      <c r="I72" s="13"/>
      <c r="J72" s="13"/>
      <c r="P72" s="1"/>
      <c r="Q72" s="2"/>
      <c r="R72" s="2"/>
      <c r="S72" s="2"/>
      <c r="T72" s="2"/>
      <c r="U72" s="2"/>
      <c r="V72" s="1"/>
      <c r="W72" s="1"/>
      <c r="X72" s="1"/>
      <c r="Y72" s="1"/>
      <c r="Z72" s="1"/>
      <c r="AA72" s="1"/>
      <c r="AB72" s="1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1"/>
      <c r="BY72" s="1"/>
      <c r="BZ72" s="1"/>
      <c r="CA72" s="1"/>
      <c r="CB72" s="1"/>
      <c r="CC72" s="1"/>
      <c r="CD72" s="3"/>
      <c r="CE72" s="3"/>
      <c r="CF72" s="1"/>
      <c r="CG72" s="1"/>
      <c r="CH72" s="3"/>
      <c r="CI72" s="3"/>
    </row>
    <row r="73" spans="1:94" ht="18">
      <c r="A73" s="13"/>
      <c r="B73" s="13"/>
      <c r="C73" s="13"/>
      <c r="D73" s="13"/>
      <c r="E73" s="37"/>
      <c r="F73" s="38"/>
      <c r="G73" s="13"/>
      <c r="H73" s="13"/>
      <c r="I73" s="13"/>
      <c r="J73" s="13"/>
      <c r="P73" s="1"/>
      <c r="Q73" s="2"/>
      <c r="R73" s="2"/>
      <c r="S73" s="2"/>
      <c r="T73" s="2"/>
      <c r="U73" s="2"/>
      <c r="V73" s="1"/>
      <c r="W73" s="1"/>
      <c r="X73" s="1"/>
      <c r="Y73" s="1"/>
      <c r="Z73" s="1"/>
      <c r="AA73" s="1"/>
      <c r="AB73" s="1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1"/>
      <c r="BY73" s="1"/>
      <c r="BZ73" s="1"/>
      <c r="CA73" s="1"/>
      <c r="CB73" s="1"/>
      <c r="CC73" s="1"/>
      <c r="CD73" s="3"/>
      <c r="CE73" s="3"/>
      <c r="CF73" s="1"/>
      <c r="CG73" s="1"/>
      <c r="CH73" s="3"/>
      <c r="CI73" s="3"/>
    </row>
    <row r="74" spans="1:94" ht="18">
      <c r="A74" s="28" t="s">
        <v>62</v>
      </c>
      <c r="B74" s="28"/>
      <c r="C74" s="28"/>
      <c r="D74" s="29" t="s">
        <v>63</v>
      </c>
      <c r="E74" s="28"/>
      <c r="F74" s="30">
        <v>355</v>
      </c>
      <c r="G74" s="13"/>
      <c r="H74" s="13"/>
      <c r="I74" s="13"/>
      <c r="J74" s="13"/>
      <c r="P74" s="1"/>
      <c r="Q74" s="2"/>
      <c r="R74" s="2"/>
      <c r="S74" s="2"/>
      <c r="T74" s="2"/>
      <c r="U74" s="2"/>
      <c r="V74" s="1"/>
      <c r="W74" s="1"/>
      <c r="X74" s="1"/>
      <c r="Y74" s="1"/>
      <c r="Z74" s="1"/>
      <c r="AA74" s="1"/>
      <c r="AB74" s="1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1"/>
      <c r="BY74" s="1"/>
      <c r="BZ74" s="1"/>
      <c r="CA74" s="1"/>
      <c r="CB74" s="1"/>
      <c r="CC74" s="1"/>
      <c r="CD74" s="3"/>
      <c r="CE74" s="3"/>
      <c r="CF74" s="1"/>
      <c r="CG74" s="1"/>
      <c r="CH74" s="3"/>
      <c r="CI74" s="3"/>
    </row>
    <row r="75" spans="1:94">
      <c r="A75">
        <v>1</v>
      </c>
      <c r="D75" s="13">
        <v>2</v>
      </c>
      <c r="E75" s="13">
        <v>3</v>
      </c>
      <c r="F75" s="13">
        <v>4</v>
      </c>
      <c r="G75" s="13">
        <v>5</v>
      </c>
      <c r="H75" s="13"/>
      <c r="I75" s="13"/>
      <c r="J75" s="13"/>
      <c r="P75" s="1"/>
      <c r="Q75" s="2"/>
      <c r="R75" s="2"/>
      <c r="S75" s="2"/>
      <c r="T75" s="2"/>
      <c r="U75" s="2"/>
      <c r="V75" s="1"/>
      <c r="W75" s="1"/>
      <c r="X75" s="1"/>
      <c r="Y75" s="1"/>
      <c r="Z75" s="1"/>
      <c r="AA75" s="1"/>
      <c r="AB75" s="1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1"/>
      <c r="BY75" s="1"/>
      <c r="BZ75" s="1"/>
      <c r="CA75" s="1"/>
      <c r="CB75" s="1"/>
      <c r="CC75" s="1"/>
      <c r="CD75" s="3"/>
      <c r="CE75" s="3"/>
      <c r="CF75" s="1"/>
      <c r="CG75" s="1"/>
      <c r="CH75" s="3"/>
      <c r="CI75" s="3"/>
      <c r="CN75" t="s">
        <v>35</v>
      </c>
      <c r="CO75" t="s">
        <v>36</v>
      </c>
      <c r="CP75" t="s">
        <v>37</v>
      </c>
    </row>
    <row r="76" spans="1:94" ht="15">
      <c r="A76">
        <v>2</v>
      </c>
      <c r="D76" s="37" t="s">
        <v>61</v>
      </c>
      <c r="E76" s="39" t="s">
        <v>127</v>
      </c>
      <c r="F76" s="42">
        <v>6750086</v>
      </c>
      <c r="G76" s="37" t="s">
        <v>129</v>
      </c>
      <c r="H76" s="13"/>
      <c r="I76" s="13"/>
      <c r="J76" s="13"/>
      <c r="P76" s="1"/>
      <c r="Q76" s="2"/>
      <c r="R76" s="2"/>
      <c r="S76" s="2"/>
      <c r="T76" s="2"/>
      <c r="U76" s="2"/>
      <c r="V76" s="1"/>
      <c r="W76" s="1"/>
      <c r="X76" s="1"/>
      <c r="Y76" s="1"/>
      <c r="Z76" s="1"/>
      <c r="AA76" s="1"/>
      <c r="AB76" s="1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1"/>
      <c r="BY76" s="1"/>
      <c r="BZ76" s="1"/>
      <c r="CA76" s="1"/>
      <c r="CB76" s="1"/>
      <c r="CC76" s="1"/>
      <c r="CD76" s="3"/>
      <c r="CE76" s="3"/>
      <c r="CF76" s="1"/>
      <c r="CG76" s="1"/>
      <c r="CH76" s="3"/>
      <c r="CI76" s="3"/>
      <c r="CO76" t="s">
        <v>50</v>
      </c>
      <c r="CP76" t="s">
        <v>51</v>
      </c>
    </row>
    <row r="77" spans="1:94" ht="15">
      <c r="A77">
        <v>3</v>
      </c>
      <c r="D77" s="40" t="s">
        <v>124</v>
      </c>
      <c r="E77" s="39" t="s">
        <v>125</v>
      </c>
      <c r="F77" s="42">
        <v>6704518</v>
      </c>
      <c r="G77" s="37" t="s">
        <v>130</v>
      </c>
      <c r="H77" s="13"/>
      <c r="I77" s="13"/>
      <c r="J77" s="13"/>
      <c r="P77" s="1"/>
      <c r="Q77" s="2"/>
      <c r="R77" s="2"/>
      <c r="S77" s="2"/>
      <c r="T77" s="2"/>
      <c r="U77" s="2"/>
      <c r="V77" s="1"/>
      <c r="W77" s="1"/>
      <c r="X77" s="1"/>
      <c r="Y77" s="1"/>
      <c r="Z77" s="1"/>
      <c r="AA77" s="1"/>
      <c r="AB77" s="1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1"/>
      <c r="BY77" s="1"/>
      <c r="BZ77" s="1"/>
      <c r="CA77" s="1"/>
      <c r="CB77" s="1"/>
      <c r="CC77" s="1"/>
      <c r="CD77" s="3"/>
      <c r="CE77" s="3"/>
      <c r="CF77" s="1"/>
      <c r="CG77" s="1"/>
      <c r="CH77" s="3"/>
      <c r="CI77" s="3"/>
      <c r="CN77">
        <v>2</v>
      </c>
      <c r="CO77">
        <v>2.2400000000000002</v>
      </c>
      <c r="CP77">
        <v>7</v>
      </c>
    </row>
    <row r="78" spans="1:94" ht="15">
      <c r="A78">
        <v>4</v>
      </c>
      <c r="D78" s="40" t="s">
        <v>124</v>
      </c>
      <c r="E78" s="39" t="s">
        <v>126</v>
      </c>
      <c r="F78" s="42">
        <v>6704519</v>
      </c>
      <c r="G78" s="37" t="s">
        <v>131</v>
      </c>
      <c r="H78" s="13"/>
      <c r="I78" s="13"/>
      <c r="J78" s="13"/>
      <c r="P78" s="1"/>
      <c r="Q78" s="2"/>
      <c r="R78" s="2"/>
      <c r="S78" s="2"/>
      <c r="T78" s="2"/>
      <c r="U78" s="2"/>
      <c r="V78" s="1"/>
      <c r="W78" s="1"/>
      <c r="X78" s="1"/>
      <c r="Y78" s="1"/>
      <c r="Z78" s="1"/>
      <c r="AA78" s="1"/>
      <c r="AB78" s="1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1"/>
      <c r="BY78" s="1"/>
      <c r="BZ78" s="1"/>
      <c r="CA78" s="1"/>
      <c r="CB78" s="1"/>
      <c r="CC78" s="1"/>
      <c r="CD78" s="3"/>
      <c r="CE78" s="3"/>
      <c r="CF78" s="1"/>
      <c r="CG78" s="1"/>
      <c r="CH78" s="3"/>
      <c r="CI78" s="3"/>
      <c r="CN78">
        <v>3</v>
      </c>
      <c r="CO78">
        <v>2.9866666666666664</v>
      </c>
      <c r="CP78">
        <v>9.3333333333333339</v>
      </c>
    </row>
    <row r="79" spans="1:94" ht="15">
      <c r="A79">
        <v>5</v>
      </c>
      <c r="D79" s="40" t="s">
        <v>124</v>
      </c>
      <c r="E79" s="39" t="s">
        <v>128</v>
      </c>
      <c r="F79" s="42">
        <v>6704520</v>
      </c>
      <c r="G79" s="37" t="s">
        <v>132</v>
      </c>
      <c r="I79" s="13"/>
      <c r="J79" s="13"/>
      <c r="P79" s="1"/>
      <c r="Q79" s="2"/>
      <c r="R79" s="2"/>
      <c r="S79" s="2"/>
      <c r="T79" s="2"/>
      <c r="U79" s="2"/>
      <c r="V79" s="1"/>
      <c r="W79" s="1"/>
      <c r="X79" s="1"/>
      <c r="Y79" s="1"/>
      <c r="Z79" s="1"/>
      <c r="AA79" s="1"/>
      <c r="AB79" s="1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1"/>
      <c r="BY79" s="1"/>
      <c r="BZ79" s="1"/>
      <c r="CA79" s="1"/>
      <c r="CB79" s="1"/>
      <c r="CC79" s="1"/>
      <c r="CD79" s="3"/>
      <c r="CE79" s="3"/>
      <c r="CF79" s="1"/>
      <c r="CG79" s="1"/>
      <c r="CH79" s="3"/>
      <c r="CI79" s="3"/>
      <c r="CN79">
        <v>5</v>
      </c>
      <c r="CO79">
        <v>2.6880000000000002</v>
      </c>
      <c r="CP79">
        <v>8.4</v>
      </c>
    </row>
    <row r="80" spans="1:94" ht="15">
      <c r="A80">
        <v>6</v>
      </c>
      <c r="D80" s="37" t="s">
        <v>69</v>
      </c>
      <c r="E80" s="39" t="s">
        <v>65</v>
      </c>
      <c r="F80" s="42">
        <v>6750078</v>
      </c>
      <c r="G80" s="41" t="s">
        <v>73</v>
      </c>
      <c r="H80" s="13"/>
      <c r="I80" s="13"/>
      <c r="J80" s="13"/>
      <c r="P80" s="1"/>
      <c r="Q80" s="2"/>
      <c r="R80" s="2"/>
      <c r="S80" s="2"/>
      <c r="T80" s="2"/>
      <c r="U80" s="2"/>
      <c r="V80" s="1"/>
      <c r="W80" s="1"/>
      <c r="X80" s="1"/>
      <c r="Y80" s="1"/>
      <c r="Z80" s="1"/>
      <c r="AA80" s="1"/>
      <c r="AB80" s="1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1"/>
      <c r="BY80" s="1"/>
      <c r="BZ80" s="1"/>
      <c r="CA80" s="1"/>
      <c r="CB80" s="1"/>
      <c r="CC80" s="1"/>
      <c r="CD80" s="3"/>
      <c r="CE80" s="3"/>
      <c r="CF80" s="1"/>
      <c r="CG80" s="1"/>
      <c r="CH80" s="3"/>
      <c r="CI80" s="3"/>
    </row>
    <row r="81" spans="1:193" ht="15">
      <c r="A81">
        <v>7</v>
      </c>
      <c r="D81" s="37" t="s">
        <v>70</v>
      </c>
      <c r="E81" s="39" t="s">
        <v>66</v>
      </c>
      <c r="F81" s="42">
        <v>6750079</v>
      </c>
      <c r="G81" s="41" t="s">
        <v>73</v>
      </c>
      <c r="H81" s="13"/>
      <c r="I81" s="13"/>
      <c r="J81" s="13"/>
      <c r="P81" s="1"/>
      <c r="Q81" s="2"/>
      <c r="R81" s="2"/>
      <c r="S81" s="2"/>
      <c r="T81" s="2"/>
      <c r="U81" s="2"/>
      <c r="V81" s="1"/>
      <c r="W81" s="1"/>
      <c r="X81" s="1"/>
      <c r="Y81" s="1"/>
      <c r="Z81" s="1"/>
      <c r="AA81" s="1"/>
      <c r="AB81" s="1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1"/>
      <c r="BY81" s="1"/>
      <c r="BZ81" s="1"/>
      <c r="CA81" s="1"/>
      <c r="CB81" s="1"/>
      <c r="CC81" s="1"/>
      <c r="CD81" s="3"/>
      <c r="CE81" s="3"/>
      <c r="CF81" s="1"/>
      <c r="CG81" s="1"/>
      <c r="CH81" s="3"/>
      <c r="CI81" s="3"/>
    </row>
    <row r="82" spans="1:193" ht="15">
      <c r="A82">
        <v>8</v>
      </c>
      <c r="D82" s="37" t="s">
        <v>71</v>
      </c>
      <c r="E82" s="39" t="s">
        <v>67</v>
      </c>
      <c r="F82" s="42">
        <v>6750080</v>
      </c>
      <c r="G82" s="41" t="s">
        <v>73</v>
      </c>
      <c r="H82" s="13"/>
      <c r="I82" s="13"/>
      <c r="J82" s="13"/>
      <c r="P82" s="1"/>
      <c r="Q82" s="2"/>
      <c r="R82" s="2"/>
      <c r="S82" s="2"/>
      <c r="T82" s="2"/>
      <c r="U82" s="2"/>
      <c r="V82" s="1"/>
      <c r="W82" s="1"/>
      <c r="X82" s="1"/>
      <c r="Y82" s="1"/>
      <c r="Z82" s="1"/>
      <c r="AA82" s="1"/>
      <c r="AB82" s="1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1"/>
      <c r="BY82" s="1"/>
      <c r="BZ82" s="1"/>
      <c r="CA82" s="1"/>
      <c r="CB82" s="1"/>
      <c r="CC82" s="1"/>
      <c r="CD82" s="3"/>
      <c r="CE82" s="3"/>
      <c r="CF82" s="1"/>
      <c r="CG82" s="1"/>
      <c r="CH82" s="3"/>
      <c r="CI82" s="3"/>
      <c r="CN82">
        <v>2</v>
      </c>
      <c r="CO82">
        <v>2.96</v>
      </c>
      <c r="CP82">
        <v>8</v>
      </c>
    </row>
    <row r="83" spans="1:193" ht="15">
      <c r="A83">
        <v>9</v>
      </c>
      <c r="D83" s="37" t="s">
        <v>72</v>
      </c>
      <c r="E83" s="39" t="s">
        <v>68</v>
      </c>
      <c r="F83" s="37"/>
      <c r="G83" s="41" t="s">
        <v>74</v>
      </c>
      <c r="H83" s="13"/>
      <c r="I83" s="13"/>
      <c r="J83" s="13"/>
      <c r="P83" s="1"/>
      <c r="Q83" s="2"/>
      <c r="R83" s="2"/>
      <c r="S83" s="2"/>
      <c r="T83" s="2"/>
      <c r="U83" s="2"/>
      <c r="V83" s="1"/>
      <c r="W83" s="1"/>
      <c r="X83" s="1"/>
      <c r="Y83" s="1"/>
      <c r="Z83" s="1"/>
      <c r="AA83" s="1"/>
      <c r="AB83" s="1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1"/>
      <c r="BY83" s="1"/>
      <c r="BZ83" s="1"/>
      <c r="CA83" s="1"/>
      <c r="CB83" s="1"/>
      <c r="CC83" s="1"/>
      <c r="CD83" s="3"/>
      <c r="CE83" s="3"/>
      <c r="CF83" s="1"/>
      <c r="CG83" s="1"/>
      <c r="CH83" s="3"/>
      <c r="CI83" s="3"/>
      <c r="CN83">
        <v>4</v>
      </c>
      <c r="CO83">
        <v>2.96</v>
      </c>
      <c r="CP83">
        <v>8</v>
      </c>
    </row>
    <row r="84" spans="1:193" ht="18">
      <c r="A84">
        <v>10</v>
      </c>
      <c r="D84" s="37"/>
      <c r="E84" s="39"/>
      <c r="F84" s="37"/>
      <c r="G84" s="38"/>
      <c r="H84" s="13"/>
      <c r="I84" s="13"/>
      <c r="J84" s="13"/>
      <c r="M84" t="s">
        <v>150</v>
      </c>
      <c r="P84" s="1"/>
      <c r="Q84" s="2"/>
      <c r="R84" s="2"/>
      <c r="S84" s="2"/>
      <c r="T84" s="2"/>
      <c r="U84" s="2"/>
      <c r="V84" s="1"/>
      <c r="W84" s="1"/>
      <c r="X84" s="1"/>
      <c r="Y84" s="1"/>
      <c r="Z84" s="1"/>
      <c r="AA84" s="1"/>
      <c r="AB84" s="1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1"/>
      <c r="BY84" s="1"/>
      <c r="BZ84" s="1"/>
      <c r="CA84" s="1"/>
      <c r="CB84" s="1"/>
      <c r="CC84" s="1"/>
      <c r="CD84" s="3"/>
      <c r="CE84" s="3"/>
      <c r="CF84" s="1"/>
      <c r="CG84" s="1"/>
      <c r="CH84" s="3"/>
      <c r="CI84" s="3"/>
      <c r="CN84">
        <v>6</v>
      </c>
      <c r="CO84">
        <v>2.96</v>
      </c>
      <c r="CP84">
        <v>8</v>
      </c>
    </row>
    <row r="85" spans="1:193" ht="15.75">
      <c r="A85">
        <v>11</v>
      </c>
      <c r="D85" s="45" t="s">
        <v>79</v>
      </c>
      <c r="M85" t="s">
        <v>240</v>
      </c>
      <c r="P85" s="1"/>
      <c r="Q85" s="2"/>
      <c r="R85" s="2"/>
      <c r="S85" s="2"/>
      <c r="T85" s="2"/>
      <c r="U85" s="2"/>
      <c r="V85" s="1"/>
      <c r="W85" s="1"/>
      <c r="X85" s="1"/>
      <c r="Y85" s="1"/>
      <c r="Z85" s="1"/>
      <c r="AA85" s="1"/>
      <c r="AB85" s="1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1"/>
      <c r="BY85" s="1"/>
      <c r="BZ85" s="1"/>
      <c r="CA85" s="1"/>
      <c r="CB85" s="1"/>
      <c r="CC85" s="1"/>
      <c r="CD85" s="3"/>
      <c r="CE85" s="3"/>
      <c r="CF85" s="1"/>
      <c r="CG85" s="1"/>
      <c r="CH85" s="3"/>
      <c r="CI85" s="3"/>
    </row>
    <row r="86" spans="1:193" ht="15.75">
      <c r="A86">
        <v>12</v>
      </c>
      <c r="D86" s="45" t="s">
        <v>80</v>
      </c>
      <c r="P86" s="1"/>
      <c r="Q86" s="2"/>
      <c r="R86" s="2"/>
      <c r="S86" s="2"/>
      <c r="T86" s="2"/>
      <c r="U86" s="2"/>
      <c r="V86" s="1"/>
      <c r="W86" s="1"/>
      <c r="X86" s="1"/>
      <c r="Y86" s="1"/>
      <c r="Z86" s="1"/>
      <c r="AA86" s="1"/>
      <c r="AB86" s="1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1"/>
      <c r="BY86" s="1"/>
      <c r="BZ86" s="1"/>
      <c r="CA86" s="1"/>
      <c r="CB86" s="1"/>
      <c r="CC86" s="1"/>
      <c r="CD86" s="3"/>
      <c r="CE86" s="3"/>
      <c r="CF86" s="1"/>
      <c r="CG86" s="1"/>
      <c r="CH86" s="3"/>
      <c r="CI86" s="3"/>
    </row>
    <row r="87" spans="1:193">
      <c r="P87" s="1"/>
      <c r="Q87" s="2"/>
      <c r="R87" s="2"/>
      <c r="S87" s="2"/>
      <c r="T87" s="2"/>
      <c r="U87" s="2"/>
      <c r="V87" s="1"/>
      <c r="W87" s="1"/>
      <c r="X87" s="1"/>
      <c r="Y87" s="1"/>
      <c r="Z87" s="1"/>
      <c r="AA87" s="1"/>
      <c r="AB87" s="1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1"/>
      <c r="BY87" s="1"/>
      <c r="BZ87" s="1"/>
      <c r="CA87" s="1"/>
      <c r="CB87" s="1"/>
      <c r="CC87" s="1"/>
      <c r="CD87" s="3"/>
      <c r="CE87" s="3"/>
      <c r="CF87" s="1"/>
      <c r="CG87" s="1"/>
      <c r="CH87" s="3"/>
      <c r="CI87" s="3"/>
      <c r="CN87">
        <v>4</v>
      </c>
      <c r="CO87">
        <v>2.35</v>
      </c>
      <c r="CP87">
        <v>5</v>
      </c>
    </row>
    <row r="88" spans="1:193">
      <c r="G88" t="s">
        <v>92</v>
      </c>
      <c r="P88" s="1"/>
      <c r="Q88" s="2"/>
      <c r="R88" s="2"/>
      <c r="S88" s="2"/>
      <c r="T88" s="2"/>
      <c r="U88" s="2"/>
      <c r="V88" s="1"/>
      <c r="W88" s="1"/>
      <c r="X88" s="1"/>
      <c r="Y88" s="1"/>
      <c r="Z88" s="1"/>
      <c r="AA88" s="1"/>
      <c r="AB88" s="1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1"/>
      <c r="BY88" s="1"/>
      <c r="BZ88" s="1"/>
      <c r="CA88" s="1"/>
      <c r="CB88" s="1"/>
      <c r="CC88" s="1"/>
      <c r="CD88" s="3"/>
      <c r="CE88" s="3"/>
      <c r="CF88" s="1"/>
      <c r="CG88" s="1"/>
      <c r="CH88" s="3"/>
      <c r="CI88" s="3"/>
      <c r="CN88">
        <v>6</v>
      </c>
      <c r="CO88">
        <v>3.1333333333333333</v>
      </c>
      <c r="CP88">
        <v>6.666666666666667</v>
      </c>
    </row>
    <row r="89" spans="1:193">
      <c r="P89" s="1"/>
      <c r="Q89" s="2"/>
      <c r="R89" s="2"/>
      <c r="S89" s="2"/>
      <c r="T89" s="2"/>
      <c r="U89" s="2"/>
      <c r="V89" s="1"/>
      <c r="W89" s="1"/>
      <c r="X89" s="1"/>
      <c r="Y89" s="1"/>
      <c r="Z89" s="1"/>
      <c r="AA89" s="1"/>
      <c r="AB89" s="1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1"/>
      <c r="BY89" s="1"/>
      <c r="BZ89" s="1"/>
      <c r="CA89" s="1"/>
      <c r="CB89" s="1"/>
      <c r="CC89" s="1"/>
      <c r="CD89" s="3"/>
      <c r="CE89" s="3"/>
      <c r="CF89" s="1"/>
      <c r="CG89" s="1"/>
      <c r="CH89" s="3"/>
      <c r="CI89" s="3"/>
      <c r="CN89">
        <v>9</v>
      </c>
      <c r="CO89">
        <v>3.1333333333333333</v>
      </c>
      <c r="CP89">
        <v>6.666666666666667</v>
      </c>
    </row>
    <row r="90" spans="1:193">
      <c r="P90" s="1"/>
      <c r="Q90" s="2"/>
      <c r="R90" s="2"/>
      <c r="S90" s="2"/>
      <c r="T90" s="2"/>
      <c r="U90" s="2"/>
      <c r="V90" s="1"/>
      <c r="W90" s="1"/>
      <c r="X90" s="1"/>
      <c r="Y90" s="1"/>
      <c r="Z90" s="1"/>
      <c r="AA90" s="1"/>
      <c r="AB90" s="1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1"/>
      <c r="BY90" s="1"/>
      <c r="BZ90" s="1"/>
      <c r="CA90" s="1"/>
      <c r="CB90" s="1"/>
      <c r="CC90" s="1"/>
      <c r="CD90" s="3"/>
      <c r="CE90" s="3"/>
      <c r="CF90" s="1"/>
      <c r="CG90" s="1"/>
      <c r="CH90" s="3"/>
      <c r="CI90" s="3"/>
    </row>
    <row r="91" spans="1:193">
      <c r="F91">
        <f>+F97*1.01</f>
        <v>20915.080000000002</v>
      </c>
      <c r="P91" s="1"/>
      <c r="Q91" s="2"/>
      <c r="R91" s="2"/>
      <c r="S91" s="2"/>
      <c r="T91" s="2"/>
      <c r="U91" s="2"/>
      <c r="V91" s="1"/>
      <c r="W91" s="1"/>
      <c r="X91" s="1"/>
      <c r="Y91" s="1"/>
      <c r="Z91" s="1"/>
      <c r="AA91" s="1"/>
      <c r="AB91" s="1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1"/>
      <c r="BY91" s="1"/>
      <c r="BZ91" s="1"/>
      <c r="CA91" s="1"/>
      <c r="CB91" s="1"/>
      <c r="CC91" s="1"/>
      <c r="CD91" s="3"/>
      <c r="CE91" s="3"/>
      <c r="CF91" s="1"/>
      <c r="CG91" s="1"/>
      <c r="CH91" s="3"/>
      <c r="CI91" s="3"/>
    </row>
    <row r="92" spans="1:193">
      <c r="H92" t="s">
        <v>84</v>
      </c>
      <c r="P92" t="s">
        <v>84</v>
      </c>
      <c r="Q92" s="2"/>
      <c r="R92" s="2"/>
      <c r="S92" s="2"/>
      <c r="T92" s="2"/>
      <c r="U92" s="2"/>
      <c r="V92" s="1"/>
      <c r="W92" t="s">
        <v>84</v>
      </c>
      <c r="X92" t="s">
        <v>84</v>
      </c>
      <c r="AC92" s="2"/>
      <c r="AD92" t="s">
        <v>84</v>
      </c>
      <c r="AE92" t="s">
        <v>84</v>
      </c>
      <c r="AF92" t="s">
        <v>84</v>
      </c>
      <c r="AG92" t="s">
        <v>84</v>
      </c>
      <c r="AH92" t="s">
        <v>84</v>
      </c>
      <c r="BW92" t="s">
        <v>84</v>
      </c>
      <c r="BX92" s="1"/>
      <c r="BY92" s="1"/>
      <c r="BZ92" s="1"/>
      <c r="CA92" s="1"/>
      <c r="CB92" s="1"/>
      <c r="CC92" s="1"/>
      <c r="CD92" s="3"/>
      <c r="CE92" s="3"/>
      <c r="CF92" t="s">
        <v>84</v>
      </c>
      <c r="CG92" t="s">
        <v>84</v>
      </c>
      <c r="CH92" s="3"/>
      <c r="CI92" s="3"/>
    </row>
    <row r="93" spans="1:193" ht="13.5" thickBot="1">
      <c r="E93" s="24">
        <v>2</v>
      </c>
      <c r="F93" s="24">
        <v>3</v>
      </c>
      <c r="G93" s="24">
        <v>4</v>
      </c>
      <c r="H93" s="24">
        <v>5</v>
      </c>
      <c r="I93" s="24">
        <v>6</v>
      </c>
      <c r="J93" s="24">
        <v>7</v>
      </c>
      <c r="K93" s="78">
        <v>8</v>
      </c>
      <c r="L93" s="24">
        <v>9</v>
      </c>
      <c r="M93" s="24">
        <v>10</v>
      </c>
      <c r="N93" s="24">
        <v>11</v>
      </c>
      <c r="O93" s="24">
        <v>12</v>
      </c>
      <c r="P93" s="3">
        <v>13</v>
      </c>
      <c r="Q93" s="3">
        <v>14</v>
      </c>
      <c r="R93" s="3">
        <v>15</v>
      </c>
      <c r="S93" s="3">
        <v>16</v>
      </c>
      <c r="T93" s="3">
        <v>17</v>
      </c>
      <c r="U93" s="3">
        <v>18</v>
      </c>
      <c r="V93" s="3">
        <v>19</v>
      </c>
      <c r="W93" s="3">
        <v>20</v>
      </c>
      <c r="X93" s="3">
        <v>21</v>
      </c>
      <c r="Y93" s="3">
        <v>22</v>
      </c>
      <c r="Z93" s="3">
        <v>23</v>
      </c>
      <c r="AA93" s="3">
        <v>24</v>
      </c>
      <c r="AB93" s="3">
        <v>25</v>
      </c>
      <c r="AC93" s="3">
        <v>26</v>
      </c>
      <c r="AD93" s="3">
        <v>27</v>
      </c>
      <c r="AE93" s="3">
        <v>28</v>
      </c>
      <c r="AF93" s="3">
        <f>+AE93+1</f>
        <v>29</v>
      </c>
      <c r="AG93" s="3">
        <f t="shared" ref="AG93:CQ93" si="4">+AF93+1</f>
        <v>30</v>
      </c>
      <c r="AH93" s="3">
        <f>+AG93+1</f>
        <v>31</v>
      </c>
      <c r="AI93" s="3">
        <f t="shared" si="4"/>
        <v>32</v>
      </c>
      <c r="AJ93" s="3">
        <f t="shared" si="4"/>
        <v>33</v>
      </c>
      <c r="AK93" s="3">
        <f t="shared" si="4"/>
        <v>34</v>
      </c>
      <c r="AL93" s="3">
        <f t="shared" si="4"/>
        <v>35</v>
      </c>
      <c r="AM93" s="3">
        <f t="shared" si="4"/>
        <v>36</v>
      </c>
      <c r="AN93" s="3">
        <f>+AM93+1</f>
        <v>37</v>
      </c>
      <c r="AO93" s="3">
        <f t="shared" si="4"/>
        <v>38</v>
      </c>
      <c r="AP93" s="3">
        <f t="shared" si="4"/>
        <v>39</v>
      </c>
      <c r="AQ93" s="3">
        <f t="shared" si="4"/>
        <v>40</v>
      </c>
      <c r="AR93" s="3">
        <f t="shared" si="4"/>
        <v>41</v>
      </c>
      <c r="AS93" s="3">
        <f t="shared" si="4"/>
        <v>42</v>
      </c>
      <c r="AT93" s="3">
        <f>+AS93+1</f>
        <v>43</v>
      </c>
      <c r="AU93" s="3">
        <f t="shared" si="4"/>
        <v>44</v>
      </c>
      <c r="AV93" s="3">
        <f t="shared" si="4"/>
        <v>45</v>
      </c>
      <c r="AW93" s="3">
        <f t="shared" si="4"/>
        <v>46</v>
      </c>
      <c r="AX93" s="3">
        <f t="shared" si="4"/>
        <v>47</v>
      </c>
      <c r="AY93" s="3">
        <f t="shared" si="4"/>
        <v>48</v>
      </c>
      <c r="AZ93" s="3">
        <f>+AY93+1</f>
        <v>49</v>
      </c>
      <c r="BA93" s="3">
        <f t="shared" si="4"/>
        <v>50</v>
      </c>
      <c r="BB93" s="3">
        <f t="shared" si="4"/>
        <v>51</v>
      </c>
      <c r="BC93" s="3">
        <f t="shared" si="4"/>
        <v>52</v>
      </c>
      <c r="BD93" s="3">
        <f t="shared" si="4"/>
        <v>53</v>
      </c>
      <c r="BE93" s="3">
        <f t="shared" si="4"/>
        <v>54</v>
      </c>
      <c r="BF93" s="3">
        <f>+BE93+1</f>
        <v>55</v>
      </c>
      <c r="BG93" s="3">
        <f t="shared" si="4"/>
        <v>56</v>
      </c>
      <c r="BH93" s="3">
        <f t="shared" si="4"/>
        <v>57</v>
      </c>
      <c r="BI93" s="3">
        <f t="shared" si="4"/>
        <v>58</v>
      </c>
      <c r="BJ93" s="3">
        <f t="shared" si="4"/>
        <v>59</v>
      </c>
      <c r="BK93" s="3">
        <f t="shared" si="4"/>
        <v>60</v>
      </c>
      <c r="BL93" s="3">
        <f t="shared" si="4"/>
        <v>61</v>
      </c>
      <c r="BM93" s="3">
        <f t="shared" si="4"/>
        <v>62</v>
      </c>
      <c r="BN93" s="3">
        <f t="shared" si="4"/>
        <v>63</v>
      </c>
      <c r="BO93" s="3">
        <f t="shared" si="4"/>
        <v>64</v>
      </c>
      <c r="BP93" s="3">
        <f t="shared" si="4"/>
        <v>65</v>
      </c>
      <c r="BQ93" s="3">
        <f t="shared" si="4"/>
        <v>66</v>
      </c>
      <c r="BR93" s="3">
        <f t="shared" si="4"/>
        <v>67</v>
      </c>
      <c r="BS93" s="3">
        <f t="shared" si="4"/>
        <v>68</v>
      </c>
      <c r="BT93" s="3">
        <f t="shared" si="4"/>
        <v>69</v>
      </c>
      <c r="BU93" s="3">
        <f t="shared" si="4"/>
        <v>70</v>
      </c>
      <c r="BV93" s="3">
        <f t="shared" si="4"/>
        <v>71</v>
      </c>
      <c r="BW93" s="3">
        <f t="shared" si="4"/>
        <v>72</v>
      </c>
      <c r="BX93" s="3">
        <f t="shared" si="4"/>
        <v>73</v>
      </c>
      <c r="BY93" s="3">
        <f t="shared" si="4"/>
        <v>74</v>
      </c>
      <c r="BZ93" s="3">
        <f t="shared" si="4"/>
        <v>75</v>
      </c>
      <c r="CA93" s="3">
        <f t="shared" si="4"/>
        <v>76</v>
      </c>
      <c r="CB93" s="3">
        <f t="shared" si="4"/>
        <v>77</v>
      </c>
      <c r="CC93" s="3">
        <f t="shared" si="4"/>
        <v>78</v>
      </c>
      <c r="CD93" s="3">
        <f t="shared" si="4"/>
        <v>79</v>
      </c>
      <c r="CE93" s="3">
        <f t="shared" si="4"/>
        <v>80</v>
      </c>
      <c r="CF93" s="3">
        <f t="shared" si="4"/>
        <v>81</v>
      </c>
      <c r="CG93" s="3">
        <f t="shared" si="4"/>
        <v>82</v>
      </c>
      <c r="CH93" s="3">
        <f t="shared" si="4"/>
        <v>83</v>
      </c>
      <c r="CI93" s="3">
        <f t="shared" si="4"/>
        <v>84</v>
      </c>
      <c r="CJ93" s="3">
        <f t="shared" si="4"/>
        <v>85</v>
      </c>
      <c r="CK93" s="3">
        <f t="shared" si="4"/>
        <v>86</v>
      </c>
      <c r="CL93" s="3">
        <f t="shared" si="4"/>
        <v>87</v>
      </c>
      <c r="CM93" s="3">
        <f t="shared" si="4"/>
        <v>88</v>
      </c>
      <c r="CN93" s="3">
        <f t="shared" si="4"/>
        <v>89</v>
      </c>
      <c r="CO93" s="3">
        <f t="shared" si="4"/>
        <v>90</v>
      </c>
      <c r="CP93" s="3">
        <f t="shared" si="4"/>
        <v>91</v>
      </c>
      <c r="CQ93" s="3">
        <f t="shared" si="4"/>
        <v>92</v>
      </c>
      <c r="CR93" s="3">
        <f t="shared" ref="CR93" si="5">+CQ93+1</f>
        <v>93</v>
      </c>
      <c r="CS93" s="3">
        <f t="shared" ref="CS93" si="6">+CR93+1</f>
        <v>94</v>
      </c>
      <c r="CT93" s="3">
        <f t="shared" ref="CT93" si="7">+CS93+1</f>
        <v>95</v>
      </c>
      <c r="CU93" s="3">
        <f t="shared" ref="CU93" si="8">+CT93+1</f>
        <v>96</v>
      </c>
      <c r="CV93" s="3">
        <f t="shared" ref="CV93" si="9">+CU93+1</f>
        <v>97</v>
      </c>
      <c r="CW93" s="3">
        <f t="shared" ref="CW93" si="10">+CV93+1</f>
        <v>98</v>
      </c>
      <c r="CX93" s="3">
        <f t="shared" ref="CX93" si="11">+CW93+1</f>
        <v>99</v>
      </c>
      <c r="CY93" s="3">
        <f t="shared" ref="CY93" si="12">+CX93+1</f>
        <v>100</v>
      </c>
      <c r="CZ93" s="3">
        <f t="shared" ref="CZ93" si="13">+CY93+1</f>
        <v>101</v>
      </c>
      <c r="DA93" s="3">
        <f t="shared" ref="DA93" si="14">+CZ93+1</f>
        <v>102</v>
      </c>
      <c r="DB93" s="3">
        <f t="shared" ref="DB93" si="15">+DA93+1</f>
        <v>103</v>
      </c>
      <c r="DC93" s="3">
        <f t="shared" ref="DC93" si="16">+DB93+1</f>
        <v>104</v>
      </c>
      <c r="DD93" s="3">
        <f t="shared" ref="DD93" si="17">+DC93+1</f>
        <v>105</v>
      </c>
      <c r="DE93" s="3">
        <f t="shared" ref="DE93" si="18">+DD93+1</f>
        <v>106</v>
      </c>
      <c r="DF93" s="3">
        <f t="shared" ref="DF93" si="19">+DE93+1</f>
        <v>107</v>
      </c>
      <c r="DG93" s="3">
        <f t="shared" ref="DG93" si="20">+DF93+1</f>
        <v>108</v>
      </c>
      <c r="DH93" s="3">
        <f t="shared" ref="DH93" si="21">+DG93+1</f>
        <v>109</v>
      </c>
      <c r="DI93" s="3">
        <f t="shared" ref="DI93" si="22">+DH93+1</f>
        <v>110</v>
      </c>
      <c r="DJ93" s="3">
        <f t="shared" ref="DJ93" si="23">+DI93+1</f>
        <v>111</v>
      </c>
      <c r="DK93" s="3">
        <f t="shared" ref="DK93" si="24">+DJ93+1</f>
        <v>112</v>
      </c>
      <c r="DL93" s="3">
        <f t="shared" ref="DL93" si="25">+DK93+1</f>
        <v>113</v>
      </c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</row>
    <row r="94" spans="1:193" s="5" customFormat="1" ht="13.5" thickBot="1">
      <c r="E94" s="5" t="s">
        <v>29</v>
      </c>
      <c r="F94" s="5" t="s">
        <v>30</v>
      </c>
      <c r="I94" s="5" t="s">
        <v>29</v>
      </c>
      <c r="J94" s="5" t="s">
        <v>29</v>
      </c>
      <c r="K94" s="79" t="s">
        <v>29</v>
      </c>
      <c r="L94" s="5" t="s">
        <v>29</v>
      </c>
      <c r="P94" s="7"/>
      <c r="Q94" s="7"/>
      <c r="R94" s="7"/>
      <c r="S94" s="7"/>
      <c r="T94" s="7"/>
      <c r="U94" s="7"/>
      <c r="V94" s="7"/>
      <c r="W94" s="7" t="s">
        <v>112</v>
      </c>
      <c r="X94" s="7"/>
      <c r="Y94" s="5" t="s">
        <v>41</v>
      </c>
      <c r="Z94" s="5" t="s">
        <v>42</v>
      </c>
      <c r="AA94" s="5" t="s">
        <v>43</v>
      </c>
      <c r="AB94" s="5" t="s">
        <v>44</v>
      </c>
      <c r="AF94" s="107" t="s">
        <v>169</v>
      </c>
      <c r="AG94" s="108"/>
      <c r="AH94" s="108"/>
      <c r="AI94" s="108"/>
      <c r="AJ94" s="108"/>
      <c r="AK94" s="108"/>
      <c r="AL94" s="108"/>
      <c r="AM94" s="108"/>
      <c r="AN94" s="108"/>
      <c r="AO94" s="109"/>
      <c r="AP94" s="88" t="s">
        <v>170</v>
      </c>
      <c r="AQ94" s="89"/>
      <c r="AR94" s="89"/>
      <c r="AS94" s="89"/>
      <c r="AT94" s="89"/>
      <c r="AU94" s="89"/>
      <c r="AV94" s="89"/>
      <c r="AW94" s="89"/>
      <c r="AX94" s="89"/>
      <c r="AY94" s="90"/>
      <c r="AZ94" s="107" t="s">
        <v>171</v>
      </c>
      <c r="BA94" s="108"/>
      <c r="BB94" s="108"/>
      <c r="BC94" s="108"/>
      <c r="BD94" s="108"/>
      <c r="BE94" s="108"/>
      <c r="BF94" s="108"/>
      <c r="BG94" s="108"/>
      <c r="BH94" s="108"/>
      <c r="BI94" s="109"/>
      <c r="BJ94" s="107" t="s">
        <v>172</v>
      </c>
      <c r="BK94" s="108"/>
      <c r="BL94" s="108"/>
      <c r="BM94" s="108"/>
      <c r="BN94" s="108"/>
      <c r="BO94" s="108"/>
      <c r="BP94" s="108"/>
      <c r="BQ94" s="108"/>
      <c r="BR94" s="108"/>
      <c r="BS94" s="109"/>
      <c r="BT94" s="107" t="s">
        <v>173</v>
      </c>
      <c r="BU94" s="108"/>
      <c r="BV94" s="108"/>
      <c r="BW94" s="108"/>
      <c r="BX94" s="108"/>
      <c r="BY94" s="108"/>
      <c r="BZ94" s="108"/>
      <c r="CA94" s="108"/>
      <c r="CB94" s="108"/>
      <c r="CC94" s="109"/>
      <c r="CD94" s="7"/>
      <c r="CE94" s="57" t="s">
        <v>184</v>
      </c>
      <c r="CF94" s="7"/>
      <c r="CG94" s="57" t="s">
        <v>144</v>
      </c>
      <c r="CH94" s="57" t="s">
        <v>145</v>
      </c>
      <c r="CI94" s="57" t="s">
        <v>146</v>
      </c>
      <c r="CJ94" s="57" t="s">
        <v>156</v>
      </c>
      <c r="CK94" s="7" t="s">
        <v>31</v>
      </c>
      <c r="CL94" s="7"/>
      <c r="CN94" s="5" t="s">
        <v>32</v>
      </c>
      <c r="CO94" s="5" t="s">
        <v>33</v>
      </c>
      <c r="CP94" s="5" t="s">
        <v>34</v>
      </c>
      <c r="CQ94" s="5" t="s">
        <v>35</v>
      </c>
      <c r="CR94" s="5" t="s">
        <v>36</v>
      </c>
      <c r="CS94" s="5" t="s">
        <v>37</v>
      </c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</row>
    <row r="95" spans="1:193" s="5" customFormat="1">
      <c r="D95" s="5" t="s">
        <v>2</v>
      </c>
      <c r="E95" s="5" t="s">
        <v>38</v>
      </c>
      <c r="G95" s="5" t="s">
        <v>39</v>
      </c>
      <c r="H95" s="5" t="s">
        <v>40</v>
      </c>
      <c r="I95" s="5" t="s">
        <v>144</v>
      </c>
      <c r="J95" s="5" t="s">
        <v>147</v>
      </c>
      <c r="K95" s="79" t="s">
        <v>145</v>
      </c>
      <c r="L95" s="5" t="s">
        <v>148</v>
      </c>
      <c r="M95" s="5" t="s">
        <v>146</v>
      </c>
      <c r="N95" s="5" t="s">
        <v>149</v>
      </c>
      <c r="O95" s="61" t="s">
        <v>156</v>
      </c>
      <c r="P95" s="7" t="s">
        <v>45</v>
      </c>
      <c r="Q95" s="7" t="s">
        <v>46</v>
      </c>
      <c r="R95" s="7" t="s">
        <v>115</v>
      </c>
      <c r="S95" s="57" t="s">
        <v>112</v>
      </c>
      <c r="T95" s="57" t="s">
        <v>188</v>
      </c>
      <c r="U95" s="57" t="s">
        <v>112</v>
      </c>
      <c r="V95" s="57" t="s">
        <v>157</v>
      </c>
      <c r="W95" s="7" t="s">
        <v>116</v>
      </c>
      <c r="X95" s="57" t="s">
        <v>158</v>
      </c>
      <c r="Y95" s="57" t="s">
        <v>159</v>
      </c>
      <c r="Z95" s="57" t="s">
        <v>160</v>
      </c>
      <c r="AA95" s="57" t="s">
        <v>161</v>
      </c>
      <c r="AB95" s="57" t="s">
        <v>162</v>
      </c>
      <c r="AC95" s="57" t="s">
        <v>163</v>
      </c>
      <c r="AD95" s="61" t="s">
        <v>164</v>
      </c>
      <c r="AE95" s="7" t="s">
        <v>47</v>
      </c>
      <c r="AF95" s="7">
        <v>2</v>
      </c>
      <c r="AG95" s="7">
        <v>4</v>
      </c>
      <c r="AH95" s="7">
        <v>6</v>
      </c>
      <c r="AI95" s="7">
        <v>8</v>
      </c>
      <c r="AJ95" s="7">
        <v>10</v>
      </c>
      <c r="AK95" s="7">
        <v>12</v>
      </c>
      <c r="AL95" s="7">
        <v>14</v>
      </c>
      <c r="AM95" s="7">
        <v>16</v>
      </c>
      <c r="AN95" s="7">
        <v>18</v>
      </c>
      <c r="AO95" s="7">
        <v>20</v>
      </c>
      <c r="AP95" s="7">
        <v>2</v>
      </c>
      <c r="AQ95" s="7">
        <v>4</v>
      </c>
      <c r="AR95" s="7">
        <v>6</v>
      </c>
      <c r="AS95" s="7">
        <v>8</v>
      </c>
      <c r="AT95" s="7">
        <v>10</v>
      </c>
      <c r="AU95" s="7">
        <v>12</v>
      </c>
      <c r="AV95" s="7">
        <v>14</v>
      </c>
      <c r="AW95" s="7">
        <v>16</v>
      </c>
      <c r="AX95" s="7">
        <v>18</v>
      </c>
      <c r="AY95" s="7">
        <v>20</v>
      </c>
      <c r="AZ95" s="7">
        <v>2</v>
      </c>
      <c r="BA95" s="7">
        <v>4</v>
      </c>
      <c r="BB95" s="7">
        <v>6</v>
      </c>
      <c r="BC95" s="7">
        <v>8</v>
      </c>
      <c r="BD95" s="7">
        <v>10</v>
      </c>
      <c r="BE95" s="7">
        <v>12</v>
      </c>
      <c r="BF95" s="7">
        <v>14</v>
      </c>
      <c r="BG95" s="7">
        <v>16</v>
      </c>
      <c r="BH95" s="7">
        <v>18</v>
      </c>
      <c r="BI95" s="7">
        <v>20</v>
      </c>
      <c r="BJ95" s="7">
        <v>2</v>
      </c>
      <c r="BK95" s="7">
        <v>4</v>
      </c>
      <c r="BL95" s="7">
        <v>6</v>
      </c>
      <c r="BM95" s="7">
        <v>8</v>
      </c>
      <c r="BN95" s="7">
        <v>10</v>
      </c>
      <c r="BO95" s="7">
        <v>12</v>
      </c>
      <c r="BP95" s="7">
        <v>14</v>
      </c>
      <c r="BQ95" s="7">
        <v>16</v>
      </c>
      <c r="BR95" s="7">
        <v>18</v>
      </c>
      <c r="BS95" s="7">
        <v>20</v>
      </c>
      <c r="BT95" s="7">
        <v>2</v>
      </c>
      <c r="BU95" s="7">
        <v>4</v>
      </c>
      <c r="BV95" s="7">
        <v>6</v>
      </c>
      <c r="BW95" s="7">
        <v>8</v>
      </c>
      <c r="BX95" s="7">
        <v>10</v>
      </c>
      <c r="BY95" s="7">
        <v>12</v>
      </c>
      <c r="BZ95" s="7">
        <v>14</v>
      </c>
      <c r="CA95" s="7">
        <v>16</v>
      </c>
      <c r="CB95" s="7">
        <v>18</v>
      </c>
      <c r="CC95" s="7">
        <v>20</v>
      </c>
      <c r="CD95" s="7" t="s">
        <v>48</v>
      </c>
      <c r="CE95" s="57" t="s">
        <v>12</v>
      </c>
      <c r="CF95" s="57" t="s">
        <v>185</v>
      </c>
      <c r="CG95" s="57" t="s">
        <v>185</v>
      </c>
      <c r="CH95" s="57" t="s">
        <v>185</v>
      </c>
      <c r="CI95" s="57" t="s">
        <v>185</v>
      </c>
      <c r="CJ95" s="57" t="s">
        <v>185</v>
      </c>
      <c r="CK95" s="7">
        <v>2</v>
      </c>
      <c r="CL95" s="7">
        <v>1</v>
      </c>
      <c r="CM95" s="5" t="s">
        <v>49</v>
      </c>
      <c r="CN95" s="61" t="s">
        <v>112</v>
      </c>
      <c r="CR95" s="5" t="s">
        <v>50</v>
      </c>
      <c r="CS95" s="5" t="s">
        <v>51</v>
      </c>
      <c r="CV95" s="5" t="s">
        <v>91</v>
      </c>
      <c r="CX95" s="5" t="s">
        <v>90</v>
      </c>
      <c r="CZ95" s="5" t="s">
        <v>95</v>
      </c>
      <c r="DB95" s="5" t="s">
        <v>96</v>
      </c>
      <c r="DD95" s="5" t="s">
        <v>97</v>
      </c>
      <c r="DF95" s="61" t="s">
        <v>227</v>
      </c>
      <c r="DH95" s="61" t="s">
        <v>228</v>
      </c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</row>
    <row r="96" spans="1:193" s="5" customFormat="1" ht="15">
      <c r="A96" s="46" t="s">
        <v>244</v>
      </c>
      <c r="B96" s="46"/>
      <c r="C96" s="46"/>
      <c r="D96" s="5">
        <v>1</v>
      </c>
      <c r="E96" s="12">
        <v>1723</v>
      </c>
      <c r="F96" s="12">
        <v>13604</v>
      </c>
      <c r="G96" s="12">
        <v>1115</v>
      </c>
      <c r="H96" s="12">
        <v>1075</v>
      </c>
      <c r="I96" s="12">
        <v>1436</v>
      </c>
      <c r="J96" s="12">
        <v>1261</v>
      </c>
      <c r="K96" s="80">
        <v>1086</v>
      </c>
      <c r="L96" s="60">
        <v>920</v>
      </c>
      <c r="M96" s="9">
        <v>754</v>
      </c>
      <c r="N96" s="26">
        <v>593</v>
      </c>
      <c r="O96" s="26">
        <v>432</v>
      </c>
      <c r="P96" s="9" t="s">
        <v>52</v>
      </c>
      <c r="Q96" s="9">
        <v>16</v>
      </c>
      <c r="R96" s="26" t="s">
        <v>165</v>
      </c>
      <c r="S96" s="100">
        <v>6703359</v>
      </c>
      <c r="T96" s="75" t="s">
        <v>193</v>
      </c>
      <c r="U96" s="100">
        <v>6703357</v>
      </c>
      <c r="V96" s="9">
        <v>49.8</v>
      </c>
      <c r="X96" s="26">
        <v>45.5</v>
      </c>
      <c r="Y96" s="26" t="s">
        <v>53</v>
      </c>
      <c r="Z96" s="9">
        <v>39.299999999999997</v>
      </c>
      <c r="AA96" s="26" t="s">
        <v>53</v>
      </c>
      <c r="AB96" s="9">
        <v>30</v>
      </c>
      <c r="AC96" s="26" t="s">
        <v>53</v>
      </c>
      <c r="AD96" s="59" t="s">
        <v>242</v>
      </c>
      <c r="AE96" s="59"/>
      <c r="AF96" s="9">
        <v>2.99</v>
      </c>
      <c r="AG96" s="9">
        <v>2.3199999999999998</v>
      </c>
      <c r="AH96" s="9">
        <v>1.69</v>
      </c>
      <c r="AI96" s="26">
        <v>1.28</v>
      </c>
      <c r="AJ96" s="9">
        <v>1</v>
      </c>
      <c r="AK96" s="9">
        <v>0.94</v>
      </c>
      <c r="AL96" s="9">
        <v>0.86</v>
      </c>
      <c r="AM96" s="9">
        <v>0.8</v>
      </c>
      <c r="AN96" s="9">
        <v>0.68</v>
      </c>
      <c r="AO96" s="9">
        <v>0.7</v>
      </c>
      <c r="AP96" s="9">
        <v>2.5</v>
      </c>
      <c r="AQ96" s="9">
        <v>1.88</v>
      </c>
      <c r="AR96" s="9">
        <v>1.33</v>
      </c>
      <c r="AS96" s="9">
        <v>1.04</v>
      </c>
      <c r="AT96" s="9">
        <v>0.85</v>
      </c>
      <c r="AU96" s="9">
        <v>0.78</v>
      </c>
      <c r="AV96" s="9">
        <v>0.75</v>
      </c>
      <c r="AW96" s="9">
        <v>0.67</v>
      </c>
      <c r="AX96" s="9">
        <v>0.6</v>
      </c>
      <c r="AY96" s="9">
        <v>0.52</v>
      </c>
      <c r="AZ96" s="9">
        <v>1.88</v>
      </c>
      <c r="BA96" s="9">
        <v>1.32</v>
      </c>
      <c r="BB96" s="9">
        <v>1.01</v>
      </c>
      <c r="BC96" s="9">
        <v>0.84</v>
      </c>
      <c r="BD96" s="9">
        <v>0.72</v>
      </c>
      <c r="BE96" s="9">
        <v>0.69</v>
      </c>
      <c r="BF96" s="9">
        <v>0.59</v>
      </c>
      <c r="BG96" s="9">
        <v>0.52</v>
      </c>
      <c r="BH96" s="75" t="s">
        <v>243</v>
      </c>
      <c r="BI96" s="75" t="s">
        <v>243</v>
      </c>
      <c r="BJ96" s="75">
        <v>1.39</v>
      </c>
      <c r="BK96" s="7">
        <v>0.92</v>
      </c>
      <c r="BL96" s="7">
        <v>0.96</v>
      </c>
      <c r="BM96" s="75">
        <v>0.65</v>
      </c>
      <c r="BN96" s="75">
        <v>0.55000000000000004</v>
      </c>
      <c r="BO96" s="75">
        <v>0.5</v>
      </c>
      <c r="BP96" s="75" t="s">
        <v>243</v>
      </c>
      <c r="BQ96" s="75" t="s">
        <v>243</v>
      </c>
      <c r="BR96" s="75" t="s">
        <v>243</v>
      </c>
      <c r="BS96" s="75" t="s">
        <v>243</v>
      </c>
      <c r="BT96" s="75">
        <v>0.59</v>
      </c>
      <c r="BU96" s="75" t="s">
        <v>243</v>
      </c>
      <c r="BV96" s="75" t="s">
        <v>243</v>
      </c>
      <c r="BW96" s="75" t="s">
        <v>243</v>
      </c>
      <c r="BX96" s="75" t="s">
        <v>243</v>
      </c>
      <c r="BY96" s="75" t="s">
        <v>243</v>
      </c>
      <c r="BZ96" s="75" t="s">
        <v>243</v>
      </c>
      <c r="CA96" s="75" t="s">
        <v>243</v>
      </c>
      <c r="CB96" s="75" t="s">
        <v>243</v>
      </c>
      <c r="CC96" s="75" t="s">
        <v>243</v>
      </c>
      <c r="CD96" s="75"/>
      <c r="CE96" s="9">
        <v>101</v>
      </c>
      <c r="CF96" s="106">
        <v>0.82</v>
      </c>
      <c r="CG96" s="106">
        <v>0.6</v>
      </c>
      <c r="CH96" s="106">
        <v>0.3</v>
      </c>
      <c r="CI96" s="106">
        <v>0.1</v>
      </c>
      <c r="CJ96" s="8">
        <v>0.1</v>
      </c>
      <c r="CK96" s="9"/>
      <c r="CL96" s="9">
        <v>0.35</v>
      </c>
      <c r="CM96" s="9"/>
      <c r="CN96" s="102">
        <v>6704751</v>
      </c>
      <c r="CO96" s="60" t="s">
        <v>201</v>
      </c>
      <c r="CP96" s="12">
        <v>1</v>
      </c>
      <c r="CQ96" s="12">
        <v>14</v>
      </c>
      <c r="CR96" s="12">
        <v>2</v>
      </c>
      <c r="CS96" s="12">
        <v>4</v>
      </c>
      <c r="CT96" s="12">
        <v>8</v>
      </c>
      <c r="CU96" s="12"/>
      <c r="CV96" s="60" t="s">
        <v>207</v>
      </c>
      <c r="CW96" s="62">
        <v>6704747</v>
      </c>
      <c r="CX96" s="60" t="s">
        <v>211</v>
      </c>
      <c r="CY96" s="62">
        <v>6704739</v>
      </c>
      <c r="CZ96" s="60" t="s">
        <v>215</v>
      </c>
      <c r="DA96" s="62">
        <v>6704735</v>
      </c>
      <c r="DB96" s="104" t="s">
        <v>219</v>
      </c>
      <c r="DC96" s="62">
        <v>6704758</v>
      </c>
      <c r="DD96" s="104" t="s">
        <v>223</v>
      </c>
      <c r="DE96" s="62">
        <v>6704743</v>
      </c>
      <c r="DF96" s="105" t="s">
        <v>229</v>
      </c>
      <c r="DG96" s="62">
        <v>6704762</v>
      </c>
      <c r="DH96" s="105" t="s">
        <v>233</v>
      </c>
      <c r="DI96" s="62">
        <v>6704766</v>
      </c>
      <c r="DJ96" s="42" t="s">
        <v>70</v>
      </c>
      <c r="DK96" s="42"/>
      <c r="DL96" s="43" t="s">
        <v>66</v>
      </c>
      <c r="DM96" s="43"/>
      <c r="DN96" s="12" t="s">
        <v>75</v>
      </c>
      <c r="DO96" s="5" t="s">
        <v>76</v>
      </c>
      <c r="DP96" s="5" t="s">
        <v>77</v>
      </c>
      <c r="DQ96" s="5" t="s">
        <v>78</v>
      </c>
      <c r="DR96" s="5" t="s">
        <v>83</v>
      </c>
      <c r="DS96" s="5">
        <v>6729995</v>
      </c>
      <c r="DT96" s="5" t="s">
        <v>98</v>
      </c>
      <c r="DU96" s="5">
        <v>6724097</v>
      </c>
      <c r="DV96" s="5">
        <v>6720488</v>
      </c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</row>
    <row r="97" spans="1:193" s="5" customFormat="1" ht="15">
      <c r="A97" s="46" t="s">
        <v>245</v>
      </c>
      <c r="B97" s="46"/>
      <c r="C97" s="46"/>
      <c r="D97" s="5">
        <v>2</v>
      </c>
      <c r="E97" s="12">
        <v>2555</v>
      </c>
      <c r="F97" s="12">
        <v>20708</v>
      </c>
      <c r="G97" s="12">
        <v>1035</v>
      </c>
      <c r="H97" s="12">
        <v>990</v>
      </c>
      <c r="I97" s="12">
        <v>2430</v>
      </c>
      <c r="J97" s="12">
        <v>2298</v>
      </c>
      <c r="K97" s="80">
        <v>2166</v>
      </c>
      <c r="L97" s="12">
        <v>2003</v>
      </c>
      <c r="M97" s="9">
        <v>1840</v>
      </c>
      <c r="N97" s="26">
        <v>1583</v>
      </c>
      <c r="O97" s="26">
        <v>1325</v>
      </c>
      <c r="P97" s="9" t="s">
        <v>52</v>
      </c>
      <c r="Q97" s="9">
        <v>22</v>
      </c>
      <c r="R97" s="26" t="s">
        <v>166</v>
      </c>
      <c r="S97" s="100">
        <v>6703367</v>
      </c>
      <c r="T97" s="75" t="s">
        <v>196</v>
      </c>
      <c r="U97" s="100">
        <v>6703365</v>
      </c>
      <c r="V97" s="9">
        <v>49.8</v>
      </c>
      <c r="X97" s="26">
        <v>48.1</v>
      </c>
      <c r="Y97" s="26" t="s">
        <v>53</v>
      </c>
      <c r="Z97" s="9">
        <v>46.3</v>
      </c>
      <c r="AA97" s="26" t="s">
        <v>53</v>
      </c>
      <c r="AB97" s="9">
        <v>41.8</v>
      </c>
      <c r="AC97" s="26" t="s">
        <v>53</v>
      </c>
      <c r="AD97" s="9">
        <v>34.299999999999997</v>
      </c>
      <c r="AE97" s="9"/>
      <c r="AF97" s="9">
        <v>2.97</v>
      </c>
      <c r="AG97" s="9">
        <v>2.41</v>
      </c>
      <c r="AH97" s="9">
        <v>2.11</v>
      </c>
      <c r="AI97" s="26">
        <v>1.65</v>
      </c>
      <c r="AJ97" s="9">
        <v>1.48</v>
      </c>
      <c r="AK97" s="9">
        <v>1.19</v>
      </c>
      <c r="AL97" s="9">
        <v>1</v>
      </c>
      <c r="AM97" s="9">
        <v>0.96</v>
      </c>
      <c r="AN97" s="9">
        <v>0.84</v>
      </c>
      <c r="AO97" s="9">
        <v>0.82</v>
      </c>
      <c r="AP97" s="9">
        <v>2.85</v>
      </c>
      <c r="AQ97" s="9">
        <v>2.33</v>
      </c>
      <c r="AR97" s="9">
        <v>1.83</v>
      </c>
      <c r="AS97" s="9">
        <v>1.44</v>
      </c>
      <c r="AT97" s="9">
        <v>1.1399999999999999</v>
      </c>
      <c r="AU97" s="9">
        <v>1.1100000000000001</v>
      </c>
      <c r="AV97" s="9">
        <v>0.95</v>
      </c>
      <c r="AW97" s="9">
        <v>0.96</v>
      </c>
      <c r="AX97" s="9">
        <v>0.81</v>
      </c>
      <c r="AY97" s="9">
        <v>0.8</v>
      </c>
      <c r="AZ97" s="9">
        <v>2.63</v>
      </c>
      <c r="BA97" s="9">
        <v>2.19</v>
      </c>
      <c r="BB97" s="9">
        <v>1.63</v>
      </c>
      <c r="BC97" s="9">
        <v>1.24</v>
      </c>
      <c r="BD97" s="9">
        <v>1.08</v>
      </c>
      <c r="BE97" s="9">
        <v>0.98</v>
      </c>
      <c r="BF97" s="9">
        <v>0.89</v>
      </c>
      <c r="BG97" s="9">
        <v>0.82</v>
      </c>
      <c r="BH97" s="75">
        <v>0.72</v>
      </c>
      <c r="BI97" s="75">
        <v>0.7</v>
      </c>
      <c r="BJ97" s="75">
        <v>2.21</v>
      </c>
      <c r="BK97" s="9">
        <v>1.85</v>
      </c>
      <c r="BL97" s="75">
        <v>1.35</v>
      </c>
      <c r="BM97" s="75">
        <v>1.17</v>
      </c>
      <c r="BN97" s="75">
        <v>0.91</v>
      </c>
      <c r="BO97" s="75">
        <v>0.84</v>
      </c>
      <c r="BP97" s="75">
        <v>0.76</v>
      </c>
      <c r="BQ97" s="75">
        <v>0.71</v>
      </c>
      <c r="BR97" s="75">
        <v>0.65</v>
      </c>
      <c r="BS97" s="75">
        <v>0.6</v>
      </c>
      <c r="BT97" s="75">
        <v>1.66</v>
      </c>
      <c r="BU97" s="75">
        <v>1.26</v>
      </c>
      <c r="BV97" s="75">
        <v>0.97</v>
      </c>
      <c r="BW97" s="75">
        <v>0.88</v>
      </c>
      <c r="BX97" s="75">
        <v>0.76</v>
      </c>
      <c r="BY97" s="75">
        <v>0.7</v>
      </c>
      <c r="BZ97" s="75">
        <v>0.68</v>
      </c>
      <c r="CA97" s="75" t="s">
        <v>243</v>
      </c>
      <c r="CB97" s="75" t="s">
        <v>243</v>
      </c>
      <c r="CC97" s="75" t="s">
        <v>243</v>
      </c>
      <c r="CD97" s="75" t="s">
        <v>113</v>
      </c>
      <c r="CE97" s="9">
        <v>183</v>
      </c>
      <c r="CF97" s="106">
        <v>1.43</v>
      </c>
      <c r="CG97" s="106">
        <v>1.2</v>
      </c>
      <c r="CH97" s="106">
        <v>0.8</v>
      </c>
      <c r="CI97" s="106">
        <v>0.5</v>
      </c>
      <c r="CJ97" s="8">
        <v>0.2</v>
      </c>
      <c r="CK97" s="9"/>
      <c r="CL97" s="9">
        <v>0.6</v>
      </c>
      <c r="CM97" s="9"/>
      <c r="CN97" s="102">
        <v>6704752</v>
      </c>
      <c r="CO97" s="60" t="s">
        <v>202</v>
      </c>
      <c r="CP97" s="12">
        <v>2</v>
      </c>
      <c r="CQ97" s="12">
        <v>14</v>
      </c>
      <c r="CR97" s="12">
        <v>3</v>
      </c>
      <c r="CS97" s="12" t="e">
        <f>CP97*CO97*CQ97/CR97/1000</f>
        <v>#VALUE!</v>
      </c>
      <c r="CT97" s="12">
        <f t="shared" ref="CT97:CT108" si="26">CP97*CQ97/CR97</f>
        <v>9.3333333333333339</v>
      </c>
      <c r="CU97" s="12"/>
      <c r="CV97" s="60" t="s">
        <v>208</v>
      </c>
      <c r="CW97" s="62">
        <v>6704748</v>
      </c>
      <c r="CX97" s="60" t="s">
        <v>212</v>
      </c>
      <c r="CY97" s="62">
        <v>6704740</v>
      </c>
      <c r="CZ97" s="60" t="s">
        <v>216</v>
      </c>
      <c r="DA97" s="62">
        <v>6704736</v>
      </c>
      <c r="DB97" s="104" t="s">
        <v>220</v>
      </c>
      <c r="DC97" s="62">
        <v>6704759</v>
      </c>
      <c r="DD97" s="104" t="s">
        <v>224</v>
      </c>
      <c r="DE97" s="62">
        <v>6704744</v>
      </c>
      <c r="DF97" s="105" t="s">
        <v>232</v>
      </c>
      <c r="DG97" s="62">
        <v>6704763</v>
      </c>
      <c r="DH97" s="105" t="s">
        <v>234</v>
      </c>
      <c r="DI97" s="62">
        <v>6704767</v>
      </c>
      <c r="DJ97" s="42" t="s">
        <v>70</v>
      </c>
      <c r="DK97" s="42"/>
      <c r="DL97" s="43" t="s">
        <v>66</v>
      </c>
      <c r="DM97" s="43"/>
      <c r="DN97" s="12" t="s">
        <v>75</v>
      </c>
      <c r="DO97" s="5" t="s">
        <v>76</v>
      </c>
      <c r="DP97" s="5" t="s">
        <v>77</v>
      </c>
      <c r="DQ97" s="5" t="s">
        <v>78</v>
      </c>
      <c r="DR97" s="5" t="s">
        <v>83</v>
      </c>
      <c r="DS97" s="5">
        <v>6729995</v>
      </c>
      <c r="DT97" s="5" t="s">
        <v>99</v>
      </c>
      <c r="DU97" s="5">
        <v>6724098</v>
      </c>
      <c r="DV97" s="5">
        <v>6720489</v>
      </c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</row>
    <row r="98" spans="1:193" s="5" customFormat="1" ht="15">
      <c r="A98" s="46" t="s">
        <v>246</v>
      </c>
      <c r="B98" s="46"/>
      <c r="C98" s="46"/>
      <c r="D98" s="5">
        <v>3</v>
      </c>
      <c r="E98" s="12">
        <v>4264</v>
      </c>
      <c r="F98" s="12">
        <v>42412</v>
      </c>
      <c r="G98" s="12">
        <v>965</v>
      </c>
      <c r="H98" s="12">
        <v>905</v>
      </c>
      <c r="I98" s="12">
        <v>3928</v>
      </c>
      <c r="J98" s="12">
        <v>3522</v>
      </c>
      <c r="K98" s="80">
        <v>3115</v>
      </c>
      <c r="L98" s="12">
        <v>2721</v>
      </c>
      <c r="M98" s="9">
        <v>2326</v>
      </c>
      <c r="N98" s="26">
        <v>1942</v>
      </c>
      <c r="O98" s="26">
        <v>1558</v>
      </c>
      <c r="P98" s="9" t="s">
        <v>52</v>
      </c>
      <c r="Q98" s="9">
        <v>34</v>
      </c>
      <c r="R98" s="26" t="s">
        <v>167</v>
      </c>
      <c r="S98" s="100">
        <v>6703375</v>
      </c>
      <c r="T98" s="75" t="s">
        <v>194</v>
      </c>
      <c r="U98" s="100">
        <v>6703373</v>
      </c>
      <c r="V98" s="9">
        <v>54.3</v>
      </c>
      <c r="X98" s="26">
        <v>52.4</v>
      </c>
      <c r="Y98" s="26" t="s">
        <v>53</v>
      </c>
      <c r="Z98" s="9">
        <v>47</v>
      </c>
      <c r="AA98" s="26" t="s">
        <v>53</v>
      </c>
      <c r="AB98" s="9">
        <v>39.6</v>
      </c>
      <c r="AC98" s="26" t="s">
        <v>53</v>
      </c>
      <c r="AD98" s="9">
        <v>31.3</v>
      </c>
      <c r="AE98" s="9"/>
      <c r="AF98" s="9">
        <v>3.7</v>
      </c>
      <c r="AG98" s="9">
        <v>1.91</v>
      </c>
      <c r="AH98" s="9">
        <v>2.59</v>
      </c>
      <c r="AI98" s="26">
        <v>2.0499999999999998</v>
      </c>
      <c r="AJ98" s="9">
        <v>1.78</v>
      </c>
      <c r="AK98" s="9">
        <v>1.54</v>
      </c>
      <c r="AL98" s="9">
        <v>1.25</v>
      </c>
      <c r="AM98" s="9">
        <v>1.05</v>
      </c>
      <c r="AN98" s="9">
        <v>1.1200000000000001</v>
      </c>
      <c r="AO98" s="9">
        <v>0.99</v>
      </c>
      <c r="AP98" s="9">
        <v>3.35</v>
      </c>
      <c r="AQ98" s="9">
        <v>2.66</v>
      </c>
      <c r="AR98" s="9">
        <v>2.17</v>
      </c>
      <c r="AS98" s="9">
        <v>1.78</v>
      </c>
      <c r="AT98" s="9">
        <v>1.62</v>
      </c>
      <c r="AU98" s="9">
        <v>1.51</v>
      </c>
      <c r="AV98" s="9">
        <v>1.32</v>
      </c>
      <c r="AW98" s="9">
        <v>1.1200000000000001</v>
      </c>
      <c r="AX98" s="9">
        <v>0.98</v>
      </c>
      <c r="AY98" s="9">
        <v>0.84</v>
      </c>
      <c r="AZ98" s="9">
        <v>2.75</v>
      </c>
      <c r="BA98" s="9">
        <v>1.84</v>
      </c>
      <c r="BB98" s="9">
        <v>1.35</v>
      </c>
      <c r="BC98" s="9">
        <v>1.23</v>
      </c>
      <c r="BD98" s="9">
        <v>1.23</v>
      </c>
      <c r="BE98" s="9">
        <v>1.03</v>
      </c>
      <c r="BF98" s="9">
        <v>1.1299999999999999</v>
      </c>
      <c r="BG98" s="9">
        <v>1.03</v>
      </c>
      <c r="BH98" s="75">
        <v>0.97</v>
      </c>
      <c r="BI98" s="75">
        <v>0.82</v>
      </c>
      <c r="BJ98" s="9">
        <v>2.0699999999999998</v>
      </c>
      <c r="BK98" s="9">
        <v>1.51</v>
      </c>
      <c r="BL98" s="75">
        <v>1.04</v>
      </c>
      <c r="BM98" s="75">
        <v>1.02</v>
      </c>
      <c r="BN98" s="75">
        <v>0.93</v>
      </c>
      <c r="BO98" s="75">
        <v>0.89</v>
      </c>
      <c r="BP98" s="75">
        <v>0.75</v>
      </c>
      <c r="BQ98" s="75">
        <v>0.69</v>
      </c>
      <c r="BR98" s="75">
        <v>0.68</v>
      </c>
      <c r="BS98" s="75"/>
      <c r="BT98" s="75">
        <v>1.43</v>
      </c>
      <c r="BU98" s="75">
        <v>1</v>
      </c>
      <c r="BV98" s="75">
        <v>0.85</v>
      </c>
      <c r="BW98" s="75">
        <v>0.81</v>
      </c>
      <c r="BX98" s="75">
        <v>0.75</v>
      </c>
      <c r="BY98" s="75">
        <v>0.74</v>
      </c>
      <c r="BZ98" s="75">
        <v>0.63</v>
      </c>
      <c r="CA98" s="75" t="s">
        <v>243</v>
      </c>
      <c r="CB98" s="75" t="s">
        <v>243</v>
      </c>
      <c r="CC98" s="75" t="s">
        <v>243</v>
      </c>
      <c r="CD98" s="75" t="s">
        <v>113</v>
      </c>
      <c r="CE98" s="9">
        <v>343</v>
      </c>
      <c r="CF98" s="106">
        <v>1.3</v>
      </c>
      <c r="CG98" s="106">
        <v>1</v>
      </c>
      <c r="CH98" s="106">
        <v>0.6</v>
      </c>
      <c r="CI98" s="106">
        <v>0.3</v>
      </c>
      <c r="CJ98" s="8">
        <v>0.2</v>
      </c>
      <c r="CK98" s="9"/>
      <c r="CL98" s="9">
        <v>1.2</v>
      </c>
      <c r="CM98" s="9"/>
      <c r="CN98" s="102">
        <v>6704753</v>
      </c>
      <c r="CO98" s="60" t="s">
        <v>203</v>
      </c>
      <c r="CP98" s="12">
        <v>3</v>
      </c>
      <c r="CQ98" s="12">
        <v>14</v>
      </c>
      <c r="CR98" s="12">
        <v>5</v>
      </c>
      <c r="CS98" s="12" t="e">
        <f>CP98*CO98*CQ98/CR98/1000</f>
        <v>#VALUE!</v>
      </c>
      <c r="CT98" s="12">
        <f t="shared" si="26"/>
        <v>8.4</v>
      </c>
      <c r="CU98" s="12"/>
      <c r="CV98" s="60" t="s">
        <v>209</v>
      </c>
      <c r="CW98" s="62">
        <v>6704749</v>
      </c>
      <c r="CX98" s="60" t="s">
        <v>213</v>
      </c>
      <c r="CY98" s="62">
        <v>6704741</v>
      </c>
      <c r="CZ98" s="60" t="s">
        <v>217</v>
      </c>
      <c r="DA98" s="62">
        <v>6704737</v>
      </c>
      <c r="DB98" s="104" t="s">
        <v>221</v>
      </c>
      <c r="DC98" s="62">
        <v>6704760</v>
      </c>
      <c r="DD98" s="104" t="s">
        <v>225</v>
      </c>
      <c r="DE98" s="62">
        <v>6704745</v>
      </c>
      <c r="DF98" s="105" t="s">
        <v>230</v>
      </c>
      <c r="DG98" s="62">
        <v>6704764</v>
      </c>
      <c r="DH98" s="105" t="s">
        <v>235</v>
      </c>
      <c r="DI98" s="62">
        <v>6704768</v>
      </c>
      <c r="DJ98" s="42" t="s">
        <v>70</v>
      </c>
      <c r="DK98" s="42"/>
      <c r="DL98" s="43" t="s">
        <v>66</v>
      </c>
      <c r="DM98" s="43"/>
      <c r="DN98" s="12" t="s">
        <v>75</v>
      </c>
      <c r="DO98" s="5" t="s">
        <v>76</v>
      </c>
      <c r="DP98" s="5" t="s">
        <v>77</v>
      </c>
      <c r="DQ98" s="5" t="s">
        <v>78</v>
      </c>
      <c r="DR98" s="5" t="s">
        <v>82</v>
      </c>
      <c r="DS98" s="5">
        <v>6729997</v>
      </c>
      <c r="DT98" s="5" t="s">
        <v>100</v>
      </c>
      <c r="DU98" s="5">
        <v>6724099</v>
      </c>
      <c r="DV98" s="5">
        <v>6720491</v>
      </c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</row>
    <row r="99" spans="1:193" s="5" customFormat="1" ht="15">
      <c r="A99" s="46"/>
      <c r="B99" s="46"/>
      <c r="C99" s="46" t="s">
        <v>141</v>
      </c>
      <c r="D99" s="5">
        <v>4</v>
      </c>
      <c r="E99" s="12"/>
      <c r="F99" s="12">
        <v>53000</v>
      </c>
      <c r="G99" s="12">
        <v>845</v>
      </c>
      <c r="H99" s="12">
        <v>830</v>
      </c>
      <c r="I99" s="12"/>
      <c r="J99" s="12"/>
      <c r="K99" s="80"/>
      <c r="L99" s="12"/>
      <c r="M99" s="9"/>
      <c r="N99" s="26"/>
      <c r="O99" s="26"/>
      <c r="P99" s="9" t="s">
        <v>93</v>
      </c>
      <c r="Q99" s="9">
        <v>45</v>
      </c>
      <c r="R99" s="26" t="s">
        <v>168</v>
      </c>
      <c r="S99" s="100"/>
      <c r="T99" s="75" t="s">
        <v>195</v>
      </c>
      <c r="U99" s="100"/>
      <c r="V99" s="9"/>
      <c r="X99" s="26"/>
      <c r="Y99" s="26" t="s">
        <v>53</v>
      </c>
      <c r="Z99" s="26"/>
      <c r="AA99" s="26" t="s">
        <v>53</v>
      </c>
      <c r="AB99" s="26"/>
      <c r="AC99" s="26" t="s">
        <v>53</v>
      </c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75"/>
      <c r="BI99" s="75"/>
      <c r="BJ99" s="26"/>
      <c r="BK99" s="26"/>
      <c r="BL99" s="75"/>
      <c r="BM99" s="75"/>
      <c r="BN99" s="75"/>
      <c r="BO99" s="75"/>
      <c r="BP99" s="75"/>
      <c r="BQ99" s="75"/>
      <c r="BR99" s="75"/>
      <c r="BS99" s="75"/>
      <c r="BT99" s="75"/>
      <c r="BU99" s="75"/>
      <c r="BV99" s="75"/>
      <c r="BW99" s="75"/>
      <c r="BX99" s="75"/>
      <c r="BY99" s="75"/>
      <c r="BZ99" s="75"/>
      <c r="CA99" s="75"/>
      <c r="CB99" s="75"/>
      <c r="CC99" s="75"/>
      <c r="CD99" s="75" t="s">
        <v>113</v>
      </c>
      <c r="CE99" s="26"/>
      <c r="CF99" s="26"/>
      <c r="CG99" s="26"/>
      <c r="CH99" s="26"/>
      <c r="CI99" s="26"/>
      <c r="CJ99" s="9"/>
      <c r="CK99" s="9"/>
      <c r="CL99" s="9">
        <v>2.2000000000000002</v>
      </c>
      <c r="CM99" s="9"/>
      <c r="CN99" s="102">
        <v>6704754</v>
      </c>
      <c r="CO99" s="60" t="s">
        <v>204</v>
      </c>
      <c r="CP99" s="12"/>
      <c r="CQ99" s="12"/>
      <c r="CR99" s="12"/>
      <c r="CS99" s="12"/>
      <c r="CT99" s="12"/>
      <c r="CU99" s="12"/>
      <c r="CV99" s="60" t="s">
        <v>210</v>
      </c>
      <c r="CW99" s="62">
        <v>6704750</v>
      </c>
      <c r="CX99" s="60" t="s">
        <v>214</v>
      </c>
      <c r="CY99" s="62">
        <v>6704742</v>
      </c>
      <c r="CZ99" s="60" t="s">
        <v>218</v>
      </c>
      <c r="DA99" s="62">
        <v>6704738</v>
      </c>
      <c r="DB99" s="104" t="s">
        <v>222</v>
      </c>
      <c r="DC99" s="62">
        <v>6704761</v>
      </c>
      <c r="DD99" s="104" t="s">
        <v>226</v>
      </c>
      <c r="DE99" s="62">
        <v>6704746</v>
      </c>
      <c r="DF99" s="105" t="s">
        <v>231</v>
      </c>
      <c r="DG99" s="62">
        <v>6704765</v>
      </c>
      <c r="DH99" s="105" t="s">
        <v>236</v>
      </c>
      <c r="DI99" s="62">
        <v>6704769</v>
      </c>
      <c r="DJ99" s="42" t="s">
        <v>70</v>
      </c>
      <c r="DK99" s="42"/>
      <c r="DL99" s="43" t="s">
        <v>66</v>
      </c>
      <c r="DM99" s="43"/>
      <c r="DN99" s="12" t="s">
        <v>75</v>
      </c>
      <c r="DO99" s="5" t="s">
        <v>76</v>
      </c>
      <c r="DP99" s="5" t="s">
        <v>77</v>
      </c>
      <c r="DQ99" s="5" t="s">
        <v>78</v>
      </c>
      <c r="DR99" s="5" t="s">
        <v>82</v>
      </c>
      <c r="DS99" s="5">
        <v>6729997</v>
      </c>
      <c r="DT99" s="5" t="s">
        <v>101</v>
      </c>
      <c r="DU99" s="5">
        <v>6724100</v>
      </c>
      <c r="DV99" s="5">
        <v>6720492</v>
      </c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</row>
    <row r="100" spans="1:193" s="5" customFormat="1" ht="15">
      <c r="A100" s="46"/>
      <c r="B100" s="46"/>
      <c r="C100" s="46"/>
      <c r="E100" s="12"/>
      <c r="F100" s="12"/>
      <c r="G100" s="12"/>
      <c r="H100" s="12"/>
      <c r="I100" s="12"/>
      <c r="J100" s="12"/>
      <c r="K100" s="80"/>
      <c r="L100" s="12"/>
      <c r="M100" s="9"/>
      <c r="N100" s="9"/>
      <c r="O100" s="9"/>
      <c r="P100" s="9"/>
      <c r="Q100" s="9"/>
      <c r="R100" s="9"/>
      <c r="S100" s="101"/>
      <c r="T100" s="9"/>
      <c r="U100" s="101"/>
      <c r="V100" s="9"/>
      <c r="W100" s="9"/>
      <c r="X100" s="26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26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9"/>
      <c r="CE100" s="9"/>
      <c r="CF100" s="26"/>
      <c r="CG100" s="26"/>
      <c r="CH100" s="26"/>
      <c r="CI100" s="26"/>
      <c r="CJ100" s="9"/>
      <c r="CK100" s="9"/>
      <c r="CL100" s="9"/>
      <c r="CM100" s="9"/>
      <c r="CN100" s="102"/>
      <c r="CO100" s="12"/>
      <c r="CP100" s="12"/>
      <c r="CQ100" s="12"/>
      <c r="CR100" s="12"/>
      <c r="CS100" s="12"/>
      <c r="CT100" s="12"/>
      <c r="CU100" s="12"/>
      <c r="CV100" s="12"/>
      <c r="CW100" s="62"/>
      <c r="CX100" s="12"/>
      <c r="CY100" s="62"/>
      <c r="CZ100" s="12"/>
      <c r="DA100" s="62"/>
      <c r="DB100" s="27"/>
      <c r="DC100" s="62"/>
      <c r="DD100" s="27"/>
      <c r="DE100" s="62"/>
      <c r="DF100" s="63"/>
      <c r="DG100" s="62"/>
      <c r="DH100" s="63"/>
      <c r="DI100" s="62"/>
      <c r="DJ100" s="42"/>
      <c r="DK100" s="42"/>
      <c r="DL100" s="43"/>
      <c r="DM100" s="43"/>
      <c r="DN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</row>
    <row r="101" spans="1:193" s="5" customFormat="1" ht="15">
      <c r="A101" s="46" t="s">
        <v>247</v>
      </c>
      <c r="B101" s="46"/>
      <c r="C101" s="46"/>
      <c r="D101" s="5">
        <v>6</v>
      </c>
      <c r="E101" s="12">
        <v>1561</v>
      </c>
      <c r="F101" s="12">
        <v>18493</v>
      </c>
      <c r="G101" s="12">
        <v>1650</v>
      </c>
      <c r="H101" s="12">
        <v>1075</v>
      </c>
      <c r="I101" s="12">
        <v>1269</v>
      </c>
      <c r="J101" s="12">
        <v>1094</v>
      </c>
      <c r="K101" s="80">
        <v>920</v>
      </c>
      <c r="L101" s="12">
        <v>766</v>
      </c>
      <c r="M101" s="9">
        <v>612</v>
      </c>
      <c r="N101" s="26">
        <v>487</v>
      </c>
      <c r="O101" s="26">
        <v>361</v>
      </c>
      <c r="P101" s="9" t="s">
        <v>52</v>
      </c>
      <c r="Q101" s="9">
        <v>18</v>
      </c>
      <c r="R101" s="75" t="s">
        <v>189</v>
      </c>
      <c r="S101" s="100">
        <v>6703363</v>
      </c>
      <c r="T101" s="75" t="s">
        <v>197</v>
      </c>
      <c r="U101" s="100">
        <v>6703361</v>
      </c>
      <c r="V101" s="9">
        <v>51.5</v>
      </c>
      <c r="W101" s="26" t="s">
        <v>53</v>
      </c>
      <c r="X101" s="26">
        <v>47.9</v>
      </c>
      <c r="Y101" s="26" t="s">
        <v>53</v>
      </c>
      <c r="Z101" s="59">
        <v>41.2</v>
      </c>
      <c r="AA101" s="26" t="s">
        <v>53</v>
      </c>
      <c r="AB101" s="59">
        <v>31.4</v>
      </c>
      <c r="AC101" s="26" t="s">
        <v>53</v>
      </c>
      <c r="AD101" s="59" t="s">
        <v>242</v>
      </c>
      <c r="AE101" s="59"/>
      <c r="AF101" s="59">
        <v>2.85</v>
      </c>
      <c r="AG101" s="9">
        <v>2.1800000000000002</v>
      </c>
      <c r="AH101" s="9">
        <v>1.55</v>
      </c>
      <c r="AI101" s="9">
        <v>1.1399999999999999</v>
      </c>
      <c r="AJ101" s="9">
        <v>0.86</v>
      </c>
      <c r="AK101" s="9">
        <v>0.8</v>
      </c>
      <c r="AL101" s="9">
        <v>0.72</v>
      </c>
      <c r="AM101" s="9">
        <v>0.66</v>
      </c>
      <c r="AN101" s="9">
        <v>0.54</v>
      </c>
      <c r="AO101" s="9">
        <v>0.56000000000000005</v>
      </c>
      <c r="AP101" s="75">
        <v>2.39</v>
      </c>
      <c r="AQ101" s="9">
        <v>1.77</v>
      </c>
      <c r="AR101" s="9">
        <v>1.22</v>
      </c>
      <c r="AS101" s="9">
        <v>0.93</v>
      </c>
      <c r="AT101" s="9">
        <v>0.74</v>
      </c>
      <c r="AU101" s="9">
        <v>0.67</v>
      </c>
      <c r="AV101" s="9">
        <v>0.64</v>
      </c>
      <c r="AW101" s="9">
        <v>0.56000000000000005</v>
      </c>
      <c r="AX101" s="9">
        <v>0.49</v>
      </c>
      <c r="AY101" s="9"/>
      <c r="AZ101" s="75">
        <v>1.74</v>
      </c>
      <c r="BA101" s="9">
        <v>1.18</v>
      </c>
      <c r="BB101" s="9">
        <v>0.87</v>
      </c>
      <c r="BC101" s="9">
        <v>0.7</v>
      </c>
      <c r="BD101" s="9">
        <v>0.57999999999999996</v>
      </c>
      <c r="BE101" s="9">
        <v>0.55000000000000004</v>
      </c>
      <c r="BF101" s="9"/>
      <c r="BG101" s="9"/>
      <c r="BH101" s="75"/>
      <c r="BI101" s="75"/>
      <c r="BJ101" s="75">
        <v>1.27</v>
      </c>
      <c r="BK101" s="9">
        <v>0.8</v>
      </c>
      <c r="BL101" s="75">
        <v>0.56999999999999995</v>
      </c>
      <c r="BM101" s="75">
        <v>0.53</v>
      </c>
      <c r="BN101" s="75">
        <v>0.43</v>
      </c>
      <c r="BO101" s="75" t="s">
        <v>243</v>
      </c>
      <c r="BP101" s="75" t="s">
        <v>243</v>
      </c>
      <c r="BQ101" s="75" t="s">
        <v>243</v>
      </c>
      <c r="BR101" s="75" t="s">
        <v>243</v>
      </c>
      <c r="BS101" s="75" t="s">
        <v>243</v>
      </c>
      <c r="BT101" s="75">
        <v>0.49</v>
      </c>
      <c r="BU101" s="75" t="s">
        <v>243</v>
      </c>
      <c r="BV101" s="75" t="s">
        <v>243</v>
      </c>
      <c r="BW101" s="75" t="s">
        <v>243</v>
      </c>
      <c r="BX101" s="75" t="s">
        <v>243</v>
      </c>
      <c r="BY101" s="75" t="s">
        <v>243</v>
      </c>
      <c r="BZ101" s="75" t="s">
        <v>243</v>
      </c>
      <c r="CA101" s="75" t="s">
        <v>243</v>
      </c>
      <c r="CB101" s="75" t="s">
        <v>243</v>
      </c>
      <c r="CC101" s="75" t="s">
        <v>243</v>
      </c>
      <c r="CD101" s="75" t="s">
        <v>113</v>
      </c>
      <c r="CE101" s="9">
        <v>101</v>
      </c>
      <c r="CF101" s="26">
        <v>0.82</v>
      </c>
      <c r="CG101" s="26">
        <v>0.6</v>
      </c>
      <c r="CH101" s="26">
        <v>0.3</v>
      </c>
      <c r="CI101" s="26">
        <v>0.1</v>
      </c>
      <c r="CJ101" s="9">
        <v>0.1</v>
      </c>
      <c r="CK101" s="9"/>
      <c r="CL101" s="9">
        <v>0.35</v>
      </c>
      <c r="CM101" s="9"/>
      <c r="CN101" s="102">
        <v>6704751</v>
      </c>
      <c r="CO101" s="60" t="s">
        <v>201</v>
      </c>
      <c r="CP101" s="12">
        <v>1</v>
      </c>
      <c r="CQ101" s="12">
        <v>16</v>
      </c>
      <c r="CR101" s="12">
        <v>2</v>
      </c>
      <c r="CS101" s="12" t="e">
        <f>CP101*CO101*CQ101/CR101/1000</f>
        <v>#VALUE!</v>
      </c>
      <c r="CT101" s="12">
        <f t="shared" si="26"/>
        <v>8</v>
      </c>
      <c r="CU101" s="12"/>
      <c r="CV101" s="60" t="s">
        <v>207</v>
      </c>
      <c r="CW101" s="62">
        <v>6704747</v>
      </c>
      <c r="CX101" s="60" t="s">
        <v>211</v>
      </c>
      <c r="CY101" s="62">
        <v>6704739</v>
      </c>
      <c r="CZ101" s="60" t="s">
        <v>215</v>
      </c>
      <c r="DA101" s="62">
        <v>6704735</v>
      </c>
      <c r="DB101" s="104" t="s">
        <v>219</v>
      </c>
      <c r="DC101" s="62">
        <v>6704758</v>
      </c>
      <c r="DD101" s="104" t="s">
        <v>223</v>
      </c>
      <c r="DE101" s="62">
        <v>6704743</v>
      </c>
      <c r="DF101" s="105" t="s">
        <v>229</v>
      </c>
      <c r="DG101" s="62">
        <v>6704762</v>
      </c>
      <c r="DH101" s="105" t="s">
        <v>233</v>
      </c>
      <c r="DI101" s="62">
        <v>6704766</v>
      </c>
      <c r="DJ101" s="42" t="s">
        <v>70</v>
      </c>
      <c r="DK101" s="42"/>
      <c r="DL101" s="43" t="s">
        <v>66</v>
      </c>
      <c r="DM101" s="43"/>
      <c r="DN101" s="12" t="s">
        <v>75</v>
      </c>
      <c r="DO101" s="5" t="s">
        <v>76</v>
      </c>
      <c r="DP101" s="5" t="s">
        <v>77</v>
      </c>
      <c r="DQ101" s="5" t="s">
        <v>78</v>
      </c>
      <c r="DR101" s="61" t="s">
        <v>83</v>
      </c>
      <c r="DS101" s="5">
        <v>6729995</v>
      </c>
      <c r="DT101" s="5" t="s">
        <v>98</v>
      </c>
      <c r="DU101" s="5">
        <v>6724097</v>
      </c>
      <c r="DV101" s="5">
        <v>6724088</v>
      </c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</row>
    <row r="102" spans="1:193" s="5" customFormat="1" ht="15">
      <c r="A102" s="46" t="s">
        <v>248</v>
      </c>
      <c r="B102" s="46"/>
      <c r="C102" s="46"/>
      <c r="D102" s="5">
        <v>7</v>
      </c>
      <c r="E102" s="12">
        <v>2280</v>
      </c>
      <c r="F102" s="12">
        <v>28616</v>
      </c>
      <c r="G102" s="12">
        <v>1540</v>
      </c>
      <c r="H102" s="12">
        <v>990</v>
      </c>
      <c r="I102" s="12">
        <v>2159</v>
      </c>
      <c r="J102" s="12">
        <v>2054</v>
      </c>
      <c r="K102" s="80">
        <v>1948</v>
      </c>
      <c r="L102" s="12">
        <v>1797</v>
      </c>
      <c r="M102" s="9">
        <v>1646</v>
      </c>
      <c r="N102" s="26">
        <v>1421</v>
      </c>
      <c r="O102" s="26">
        <v>1195</v>
      </c>
      <c r="P102" s="9" t="s">
        <v>52</v>
      </c>
      <c r="Q102" s="9">
        <v>24</v>
      </c>
      <c r="R102" s="75" t="s">
        <v>190</v>
      </c>
      <c r="S102" s="100">
        <v>6703371</v>
      </c>
      <c r="T102" s="75" t="s">
        <v>198</v>
      </c>
      <c r="U102" s="100">
        <v>6703369</v>
      </c>
      <c r="V102" s="9">
        <v>48.5</v>
      </c>
      <c r="W102" s="26" t="s">
        <v>53</v>
      </c>
      <c r="X102" s="26">
        <v>47.6</v>
      </c>
      <c r="Y102" s="26" t="s">
        <v>53</v>
      </c>
      <c r="Z102" s="59">
        <v>44.7</v>
      </c>
      <c r="AA102" s="26" t="s">
        <v>53</v>
      </c>
      <c r="AB102" s="59">
        <v>40.9</v>
      </c>
      <c r="AC102" s="26" t="s">
        <v>53</v>
      </c>
      <c r="AD102" s="59">
        <v>32.799999999999997</v>
      </c>
      <c r="AE102" s="59"/>
      <c r="AF102" s="59">
        <v>2.88</v>
      </c>
      <c r="AG102" s="9">
        <v>2.3199999999999998</v>
      </c>
      <c r="AH102" s="9">
        <v>2.02</v>
      </c>
      <c r="AI102" s="9">
        <v>1.56</v>
      </c>
      <c r="AJ102" s="9">
        <v>1.39</v>
      </c>
      <c r="AK102" s="9">
        <v>1.1000000000000001</v>
      </c>
      <c r="AL102" s="9">
        <v>0.91</v>
      </c>
      <c r="AM102" s="9">
        <v>0.87</v>
      </c>
      <c r="AN102" s="9">
        <v>0.75</v>
      </c>
      <c r="AO102" s="9">
        <v>0.73</v>
      </c>
      <c r="AP102" s="75">
        <v>2.74</v>
      </c>
      <c r="AQ102" s="9">
        <v>2.2200000000000002</v>
      </c>
      <c r="AR102" s="9">
        <v>1.72</v>
      </c>
      <c r="AS102" s="9">
        <v>1.33</v>
      </c>
      <c r="AT102" s="9">
        <v>1.03</v>
      </c>
      <c r="AU102" s="9">
        <v>1</v>
      </c>
      <c r="AV102" s="9">
        <v>0.84</v>
      </c>
      <c r="AW102" s="9">
        <v>0.85</v>
      </c>
      <c r="AX102" s="9">
        <v>0.7</v>
      </c>
      <c r="AY102" s="9">
        <v>0.69</v>
      </c>
      <c r="AZ102" s="75">
        <v>2.5299999999999998</v>
      </c>
      <c r="BA102" s="9">
        <v>2.09</v>
      </c>
      <c r="BB102" s="9">
        <v>1.53</v>
      </c>
      <c r="BC102" s="9">
        <v>1.1399999999999999</v>
      </c>
      <c r="BD102" s="9">
        <v>0.98</v>
      </c>
      <c r="BE102" s="9">
        <v>0.88</v>
      </c>
      <c r="BF102" s="9">
        <v>0.79</v>
      </c>
      <c r="BG102" s="9">
        <v>0.72</v>
      </c>
      <c r="BH102" s="75">
        <v>0.62</v>
      </c>
      <c r="BI102" s="75">
        <v>0.6</v>
      </c>
      <c r="BJ102" s="75">
        <v>2.16</v>
      </c>
      <c r="BK102" s="9">
        <v>1.8</v>
      </c>
      <c r="BL102" s="75">
        <v>1.3</v>
      </c>
      <c r="BM102" s="75">
        <v>1.1200000000000001</v>
      </c>
      <c r="BN102" s="75">
        <v>0.86</v>
      </c>
      <c r="BO102" s="75">
        <v>0.79</v>
      </c>
      <c r="BP102" s="75">
        <v>0.71</v>
      </c>
      <c r="BQ102" s="75">
        <v>0.66</v>
      </c>
      <c r="BR102" s="75">
        <v>0.6</v>
      </c>
      <c r="BS102" s="75">
        <v>0.55000000000000004</v>
      </c>
      <c r="BT102" s="75">
        <v>1.58</v>
      </c>
      <c r="BU102" s="75">
        <v>1.18</v>
      </c>
      <c r="BV102" s="75">
        <v>0.89</v>
      </c>
      <c r="BW102" s="75">
        <v>0.8</v>
      </c>
      <c r="BX102" s="75">
        <v>0.68</v>
      </c>
      <c r="BY102" s="75">
        <v>0.62</v>
      </c>
      <c r="BZ102" s="75">
        <v>0.6</v>
      </c>
      <c r="CA102" s="75">
        <v>0.54</v>
      </c>
      <c r="CB102" s="75">
        <v>0.5</v>
      </c>
      <c r="CC102" s="75" t="s">
        <v>243</v>
      </c>
      <c r="CD102" s="75" t="s">
        <v>113</v>
      </c>
      <c r="CE102" s="9">
        <v>183</v>
      </c>
      <c r="CF102" s="26">
        <v>1.43</v>
      </c>
      <c r="CG102" s="26">
        <v>1.2</v>
      </c>
      <c r="CH102" s="26">
        <v>0.8</v>
      </c>
      <c r="CI102" s="26">
        <v>0.5</v>
      </c>
      <c r="CJ102" s="9">
        <v>0.2</v>
      </c>
      <c r="CK102" s="9"/>
      <c r="CL102" s="9">
        <v>0.6</v>
      </c>
      <c r="CM102" s="9"/>
      <c r="CN102" s="102">
        <v>6704752</v>
      </c>
      <c r="CO102" s="60" t="s">
        <v>202</v>
      </c>
      <c r="CP102" s="12">
        <v>2</v>
      </c>
      <c r="CQ102" s="12">
        <v>16</v>
      </c>
      <c r="CR102" s="12">
        <v>4</v>
      </c>
      <c r="CS102" s="12" t="e">
        <f>CP102*CO102*CQ102/CR102/1000</f>
        <v>#VALUE!</v>
      </c>
      <c r="CT102" s="12">
        <f t="shared" si="26"/>
        <v>8</v>
      </c>
      <c r="CU102" s="12"/>
      <c r="CV102" s="60" t="s">
        <v>208</v>
      </c>
      <c r="CW102" s="62">
        <v>6704748</v>
      </c>
      <c r="CX102" s="60" t="s">
        <v>212</v>
      </c>
      <c r="CY102" s="62">
        <v>6704740</v>
      </c>
      <c r="CZ102" s="60" t="s">
        <v>216</v>
      </c>
      <c r="DA102" s="62">
        <v>6704736</v>
      </c>
      <c r="DB102" s="104" t="s">
        <v>220</v>
      </c>
      <c r="DC102" s="62">
        <v>6704759</v>
      </c>
      <c r="DD102" s="104" t="s">
        <v>224</v>
      </c>
      <c r="DE102" s="62">
        <v>6704744</v>
      </c>
      <c r="DF102" s="105" t="s">
        <v>232</v>
      </c>
      <c r="DG102" s="62">
        <v>6704763</v>
      </c>
      <c r="DH102" s="105" t="s">
        <v>234</v>
      </c>
      <c r="DI102" s="62">
        <v>6704767</v>
      </c>
      <c r="DJ102" s="42" t="s">
        <v>70</v>
      </c>
      <c r="DK102" s="42"/>
      <c r="DL102" s="43" t="s">
        <v>66</v>
      </c>
      <c r="DM102" s="43"/>
      <c r="DN102" s="12" t="s">
        <v>75</v>
      </c>
      <c r="DO102" s="5" t="s">
        <v>76</v>
      </c>
      <c r="DP102" s="5" t="s">
        <v>77</v>
      </c>
      <c r="DQ102" s="5" t="s">
        <v>78</v>
      </c>
      <c r="DR102" s="61" t="s">
        <v>83</v>
      </c>
      <c r="DS102" s="5">
        <v>6729995</v>
      </c>
      <c r="DT102" s="5" t="s">
        <v>99</v>
      </c>
      <c r="DU102" s="5">
        <v>6724098</v>
      </c>
      <c r="DV102" s="5">
        <v>6724089</v>
      </c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</row>
    <row r="103" spans="1:193" s="5" customFormat="1" ht="15">
      <c r="A103" s="97" t="s">
        <v>249</v>
      </c>
      <c r="B103" s="46"/>
      <c r="C103" s="46"/>
      <c r="D103" s="5">
        <v>8</v>
      </c>
      <c r="E103" s="12">
        <v>3819</v>
      </c>
      <c r="F103" s="12">
        <v>54367</v>
      </c>
      <c r="G103" s="12">
        <v>1460</v>
      </c>
      <c r="H103" s="12">
        <v>905</v>
      </c>
      <c r="I103" s="12">
        <v>3612</v>
      </c>
      <c r="J103" s="12">
        <v>3240</v>
      </c>
      <c r="K103" s="80">
        <v>2867</v>
      </c>
      <c r="L103" s="12">
        <v>2494</v>
      </c>
      <c r="M103" s="9">
        <v>2121</v>
      </c>
      <c r="N103" s="26">
        <v>1762</v>
      </c>
      <c r="O103" s="26">
        <v>1402</v>
      </c>
      <c r="P103" s="9" t="s">
        <v>93</v>
      </c>
      <c r="Q103" s="9">
        <v>36</v>
      </c>
      <c r="R103" s="75" t="s">
        <v>191</v>
      </c>
      <c r="S103" s="100">
        <v>6703379</v>
      </c>
      <c r="T103" s="75" t="s">
        <v>199</v>
      </c>
      <c r="U103" s="100">
        <v>6703377</v>
      </c>
      <c r="V103" s="9">
        <v>53.6</v>
      </c>
      <c r="W103" s="26" t="s">
        <v>53</v>
      </c>
      <c r="X103" s="26">
        <v>52.1</v>
      </c>
      <c r="Y103" s="26" t="s">
        <v>53</v>
      </c>
      <c r="Z103" s="59">
        <v>47.1</v>
      </c>
      <c r="AA103" s="26" t="s">
        <v>53</v>
      </c>
      <c r="AB103" s="59">
        <v>39.700000000000003</v>
      </c>
      <c r="AC103" s="26" t="s">
        <v>53</v>
      </c>
      <c r="AD103" s="59">
        <v>30</v>
      </c>
      <c r="AE103" s="59"/>
      <c r="AF103" s="59">
        <v>3.59</v>
      </c>
      <c r="AG103" s="9">
        <v>2.8</v>
      </c>
      <c r="AH103" s="9">
        <v>2.48</v>
      </c>
      <c r="AI103" s="9">
        <v>1.94</v>
      </c>
      <c r="AJ103" s="9">
        <v>1.67</v>
      </c>
      <c r="AK103" s="9">
        <v>1.43</v>
      </c>
      <c r="AL103" s="9">
        <v>1.1399999999999999</v>
      </c>
      <c r="AM103" s="9">
        <v>0.94</v>
      </c>
      <c r="AN103" s="9">
        <v>1.01</v>
      </c>
      <c r="AO103" s="9">
        <v>0.88</v>
      </c>
      <c r="AP103" s="9">
        <v>3.25</v>
      </c>
      <c r="AQ103" s="9">
        <v>2.56</v>
      </c>
      <c r="AR103" s="9">
        <v>2.0699999999999998</v>
      </c>
      <c r="AS103" s="9">
        <v>1.68</v>
      </c>
      <c r="AT103" s="9">
        <v>1.52</v>
      </c>
      <c r="AU103" s="9">
        <v>1.41</v>
      </c>
      <c r="AV103" s="9">
        <v>1.22</v>
      </c>
      <c r="AW103" s="9">
        <v>1.02</v>
      </c>
      <c r="AX103" s="9">
        <v>0.88</v>
      </c>
      <c r="AY103" s="9">
        <v>0.74</v>
      </c>
      <c r="AZ103" s="75">
        <v>2.62</v>
      </c>
      <c r="BA103" s="9">
        <v>1.71</v>
      </c>
      <c r="BB103" s="9">
        <v>1.22</v>
      </c>
      <c r="BC103" s="9">
        <v>1.1000000000000001</v>
      </c>
      <c r="BD103" s="9">
        <v>1.1000000000000001</v>
      </c>
      <c r="BE103" s="9">
        <v>0.9</v>
      </c>
      <c r="BF103" s="9">
        <v>1</v>
      </c>
      <c r="BG103" s="9">
        <v>0.9</v>
      </c>
      <c r="BH103" s="75">
        <v>0.84</v>
      </c>
      <c r="BI103" s="75">
        <v>0.69</v>
      </c>
      <c r="BJ103" s="75">
        <v>1.98</v>
      </c>
      <c r="BK103" s="9">
        <v>1.42</v>
      </c>
      <c r="BL103" s="75">
        <v>0.95</v>
      </c>
      <c r="BM103" s="75">
        <v>0.93</v>
      </c>
      <c r="BN103" s="75">
        <v>0.84</v>
      </c>
      <c r="BO103" s="75">
        <v>0.8</v>
      </c>
      <c r="BP103" s="75">
        <v>0.66</v>
      </c>
      <c r="BQ103" s="75">
        <v>0.6</v>
      </c>
      <c r="BR103" s="75">
        <v>0.59</v>
      </c>
      <c r="BS103" s="75" t="s">
        <v>243</v>
      </c>
      <c r="BT103" s="75">
        <v>1.31</v>
      </c>
      <c r="BU103" s="75">
        <v>0.88</v>
      </c>
      <c r="BV103" s="75">
        <v>0.73</v>
      </c>
      <c r="BW103" s="75">
        <v>0.69</v>
      </c>
      <c r="BX103" s="75">
        <v>0.63</v>
      </c>
      <c r="BY103" s="75">
        <v>0.62</v>
      </c>
      <c r="BZ103" s="75">
        <v>0.51</v>
      </c>
      <c r="CA103" s="75" t="s">
        <v>243</v>
      </c>
      <c r="CB103" s="75" t="s">
        <v>243</v>
      </c>
      <c r="CC103" s="75" t="s">
        <v>243</v>
      </c>
      <c r="CD103" s="75" t="s">
        <v>113</v>
      </c>
      <c r="CE103" s="9">
        <v>343</v>
      </c>
      <c r="CF103" s="26">
        <v>1.52</v>
      </c>
      <c r="CG103" s="26">
        <v>1.1000000000000001</v>
      </c>
      <c r="CH103" s="26">
        <v>0.6</v>
      </c>
      <c r="CI103" s="26">
        <v>0.3</v>
      </c>
      <c r="CJ103" s="9">
        <v>0.2</v>
      </c>
      <c r="CK103" s="9"/>
      <c r="CL103" s="9">
        <v>1.2</v>
      </c>
      <c r="CM103" s="9"/>
      <c r="CN103" s="102">
        <v>6704753</v>
      </c>
      <c r="CO103" s="60" t="s">
        <v>203</v>
      </c>
      <c r="CP103" s="12">
        <v>3</v>
      </c>
      <c r="CQ103" s="12">
        <v>16</v>
      </c>
      <c r="CR103" s="12">
        <v>6</v>
      </c>
      <c r="CS103" s="12" t="e">
        <f>CP103*CO103*CQ103/CR103/1000</f>
        <v>#VALUE!</v>
      </c>
      <c r="CT103" s="12">
        <f t="shared" si="26"/>
        <v>8</v>
      </c>
      <c r="CU103" s="12"/>
      <c r="CV103" s="60" t="s">
        <v>209</v>
      </c>
      <c r="CW103" s="62">
        <v>6704749</v>
      </c>
      <c r="CX103" s="60" t="s">
        <v>213</v>
      </c>
      <c r="CY103" s="62">
        <v>6704741</v>
      </c>
      <c r="CZ103" s="60" t="s">
        <v>217</v>
      </c>
      <c r="DA103" s="62">
        <v>6704737</v>
      </c>
      <c r="DB103" s="104" t="s">
        <v>221</v>
      </c>
      <c r="DC103" s="62">
        <v>6704760</v>
      </c>
      <c r="DD103" s="104" t="s">
        <v>225</v>
      </c>
      <c r="DE103" s="62">
        <v>6704745</v>
      </c>
      <c r="DF103" s="105" t="s">
        <v>230</v>
      </c>
      <c r="DG103" s="62">
        <v>6704764</v>
      </c>
      <c r="DH103" s="105" t="s">
        <v>235</v>
      </c>
      <c r="DI103" s="62">
        <v>6704768</v>
      </c>
      <c r="DJ103" s="42" t="s">
        <v>70</v>
      </c>
      <c r="DK103" s="42"/>
      <c r="DL103" s="43" t="s">
        <v>66</v>
      </c>
      <c r="DM103" s="43"/>
      <c r="DN103" s="12" t="s">
        <v>75</v>
      </c>
      <c r="DO103" s="5" t="s">
        <v>76</v>
      </c>
      <c r="DP103" s="5" t="s">
        <v>77</v>
      </c>
      <c r="DQ103" s="5" t="s">
        <v>78</v>
      </c>
      <c r="DR103" s="61" t="s">
        <v>82</v>
      </c>
      <c r="DS103" s="5">
        <v>6729997</v>
      </c>
      <c r="DT103" s="5" t="s">
        <v>100</v>
      </c>
      <c r="DU103" s="5">
        <v>6724099</v>
      </c>
      <c r="DV103" s="5">
        <v>6724091</v>
      </c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</row>
    <row r="104" spans="1:193" s="5" customFormat="1" ht="15">
      <c r="A104" s="46"/>
      <c r="B104" s="46"/>
      <c r="C104" s="46" t="s">
        <v>141</v>
      </c>
      <c r="D104" s="5">
        <v>9</v>
      </c>
      <c r="E104" s="12"/>
      <c r="F104" s="12">
        <v>62500</v>
      </c>
      <c r="G104" s="12">
        <v>1330</v>
      </c>
      <c r="H104" s="12">
        <v>885</v>
      </c>
      <c r="I104" s="12"/>
      <c r="J104" s="12"/>
      <c r="K104" s="80"/>
      <c r="L104" s="12"/>
      <c r="M104" s="9"/>
      <c r="N104" s="26"/>
      <c r="O104" s="26"/>
      <c r="P104" s="9" t="s">
        <v>94</v>
      </c>
      <c r="Q104" s="9">
        <v>47</v>
      </c>
      <c r="R104" s="75" t="s">
        <v>192</v>
      </c>
      <c r="S104" s="100"/>
      <c r="T104" s="75" t="s">
        <v>200</v>
      </c>
      <c r="U104" s="100"/>
      <c r="V104" s="9"/>
      <c r="W104" s="26" t="s">
        <v>53</v>
      </c>
      <c r="X104" s="26"/>
      <c r="Y104" s="26" t="s">
        <v>53</v>
      </c>
      <c r="Z104" s="59"/>
      <c r="AA104" s="26" t="s">
        <v>53</v>
      </c>
      <c r="AB104" s="59"/>
      <c r="AC104" s="26" t="s">
        <v>53</v>
      </c>
      <c r="AD104" s="59"/>
      <c r="AE104" s="59"/>
      <c r="AF104" s="59"/>
      <c r="AG104" s="9"/>
      <c r="AH104" s="9"/>
      <c r="AI104" s="9"/>
      <c r="AJ104" s="9"/>
      <c r="AK104" s="9"/>
      <c r="AL104" s="9"/>
      <c r="AM104" s="9"/>
      <c r="AN104" s="9"/>
      <c r="AO104" s="75"/>
      <c r="AP104" s="75"/>
      <c r="AQ104" s="9"/>
      <c r="AR104" s="9"/>
      <c r="AS104" s="9"/>
      <c r="AT104" s="9"/>
      <c r="AU104" s="9"/>
      <c r="AV104" s="9"/>
      <c r="AW104" s="9"/>
      <c r="AX104" s="9"/>
      <c r="AY104" s="75"/>
      <c r="AZ104" s="75"/>
      <c r="BA104" s="9"/>
      <c r="BB104" s="9"/>
      <c r="BC104" s="9"/>
      <c r="BD104" s="9"/>
      <c r="BE104" s="9"/>
      <c r="BF104" s="9"/>
      <c r="BG104" s="9"/>
      <c r="BH104" s="75"/>
      <c r="BI104" s="75"/>
      <c r="BJ104" s="75"/>
      <c r="BK104" s="9"/>
      <c r="BL104" s="75"/>
      <c r="BM104" s="75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75"/>
      <c r="CA104" s="75"/>
      <c r="CB104" s="75"/>
      <c r="CC104" s="75"/>
      <c r="CD104" s="75" t="s">
        <v>113</v>
      </c>
      <c r="CE104" s="9"/>
      <c r="CF104" s="26"/>
      <c r="CG104" s="26"/>
      <c r="CH104" s="26"/>
      <c r="CI104" s="26"/>
      <c r="CJ104" s="9"/>
      <c r="CK104" s="9"/>
      <c r="CL104" s="9">
        <v>2.2000000000000002</v>
      </c>
      <c r="CM104" s="9"/>
      <c r="CN104" s="102">
        <v>6704754</v>
      </c>
      <c r="CO104" s="60" t="s">
        <v>204</v>
      </c>
      <c r="CP104" s="12"/>
      <c r="CQ104" s="12"/>
      <c r="CR104" s="12"/>
      <c r="CS104" s="12"/>
      <c r="CT104" s="12"/>
      <c r="CU104" s="12"/>
      <c r="CV104" s="60" t="s">
        <v>210</v>
      </c>
      <c r="CW104" s="62">
        <v>6704750</v>
      </c>
      <c r="CX104" s="60" t="s">
        <v>214</v>
      </c>
      <c r="CY104" s="62">
        <v>6704742</v>
      </c>
      <c r="CZ104" s="60" t="s">
        <v>218</v>
      </c>
      <c r="DA104" s="62">
        <v>6704738</v>
      </c>
      <c r="DB104" s="104" t="s">
        <v>222</v>
      </c>
      <c r="DC104" s="62">
        <v>6704761</v>
      </c>
      <c r="DD104" s="104" t="s">
        <v>226</v>
      </c>
      <c r="DE104" s="62">
        <v>6704746</v>
      </c>
      <c r="DF104" s="105" t="s">
        <v>231</v>
      </c>
      <c r="DG104" s="62">
        <v>6704765</v>
      </c>
      <c r="DH104" s="105" t="s">
        <v>236</v>
      </c>
      <c r="DI104" s="62">
        <v>6704769</v>
      </c>
      <c r="DJ104" s="42"/>
      <c r="DK104" s="42"/>
      <c r="DL104" s="43"/>
      <c r="DM104" s="43"/>
      <c r="DN104" s="12"/>
      <c r="DR104" s="5" t="s">
        <v>82</v>
      </c>
      <c r="DS104" s="5">
        <v>6729997</v>
      </c>
      <c r="DT104" s="5" t="s">
        <v>101</v>
      </c>
      <c r="DU104" s="5">
        <v>6724100</v>
      </c>
      <c r="DV104" s="5">
        <v>6724092</v>
      </c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</row>
    <row r="105" spans="1:193" s="5" customFormat="1" ht="15">
      <c r="A105" s="46"/>
      <c r="B105" s="46"/>
      <c r="C105" s="46"/>
      <c r="E105" s="12"/>
      <c r="F105" s="12"/>
      <c r="G105" s="12"/>
      <c r="H105" s="12"/>
      <c r="I105" s="12"/>
      <c r="J105" s="12"/>
      <c r="K105" s="80"/>
      <c r="L105" s="12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10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62"/>
      <c r="CZ105" s="12"/>
      <c r="DA105" s="62"/>
      <c r="DB105" s="12"/>
      <c r="DC105" s="62"/>
      <c r="DD105" s="12"/>
      <c r="DE105" s="62"/>
      <c r="DF105" s="62"/>
      <c r="DG105" s="62"/>
      <c r="DH105" s="62"/>
      <c r="DI105" s="62"/>
      <c r="DJ105" s="42"/>
      <c r="DK105" s="42"/>
      <c r="DL105" s="43"/>
      <c r="DM105" s="43"/>
      <c r="DN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</row>
    <row r="106" spans="1:193" s="5" customFormat="1" ht="15">
      <c r="A106" s="46" t="s">
        <v>138</v>
      </c>
      <c r="B106" s="46"/>
      <c r="C106" s="46"/>
      <c r="D106" s="5">
        <v>11</v>
      </c>
      <c r="E106" s="12">
        <v>2643</v>
      </c>
      <c r="F106" s="12">
        <v>16190</v>
      </c>
      <c r="G106" s="12">
        <v>3050</v>
      </c>
      <c r="H106" s="12">
        <v>1930</v>
      </c>
      <c r="I106" s="12">
        <v>2525</v>
      </c>
      <c r="J106" s="26">
        <f>(I106+K106)/2</f>
        <v>2392</v>
      </c>
      <c r="K106" s="80">
        <v>2259</v>
      </c>
      <c r="L106" s="26">
        <f>(K106+M106)/2</f>
        <v>2084</v>
      </c>
      <c r="M106" s="9">
        <v>1909</v>
      </c>
      <c r="N106" s="26">
        <f>(M106+O106)/2</f>
        <v>1662.5</v>
      </c>
      <c r="O106" s="26">
        <v>1416</v>
      </c>
      <c r="P106" s="9" t="s">
        <v>52</v>
      </c>
      <c r="Q106" s="9">
        <v>16</v>
      </c>
      <c r="R106" s="97" t="s">
        <v>138</v>
      </c>
      <c r="S106" s="46">
        <v>6703388</v>
      </c>
      <c r="T106" s="97" t="s">
        <v>141</v>
      </c>
      <c r="U106" s="46"/>
      <c r="V106" s="9">
        <v>50.4</v>
      </c>
      <c r="W106" s="5">
        <v>6724085</v>
      </c>
      <c r="X106" s="26">
        <v>49.1</v>
      </c>
      <c r="Y106" s="26" t="s">
        <v>53</v>
      </c>
      <c r="Z106" s="59">
        <v>46.4</v>
      </c>
      <c r="AA106" s="26" t="s">
        <v>53</v>
      </c>
      <c r="AB106" s="59">
        <v>42.1</v>
      </c>
      <c r="AC106" s="26" t="s">
        <v>53</v>
      </c>
      <c r="AD106" s="59">
        <v>34.700000000000003</v>
      </c>
      <c r="AE106" s="59"/>
      <c r="AF106" s="59">
        <v>3.4</v>
      </c>
      <c r="AG106" s="9">
        <v>2.09</v>
      </c>
      <c r="AH106" s="9">
        <v>1.65</v>
      </c>
      <c r="AI106" s="9">
        <v>1.57</v>
      </c>
      <c r="AJ106" s="9">
        <v>1.39</v>
      </c>
      <c r="AK106" s="9">
        <v>1.24</v>
      </c>
      <c r="AL106" s="9">
        <v>1.3</v>
      </c>
      <c r="AM106" s="9">
        <v>1.08</v>
      </c>
      <c r="AN106" s="9">
        <v>0.95</v>
      </c>
      <c r="AO106" s="9">
        <v>0.96</v>
      </c>
      <c r="AP106" s="9">
        <v>3.27</v>
      </c>
      <c r="AQ106" s="9">
        <v>1.97</v>
      </c>
      <c r="AR106" s="9">
        <v>1.58</v>
      </c>
      <c r="AS106" s="9">
        <v>1.56</v>
      </c>
      <c r="AT106" s="9">
        <v>1.35</v>
      </c>
      <c r="AU106" s="9">
        <v>1.1599999999999999</v>
      </c>
      <c r="AV106" s="9">
        <v>1.1599999999999999</v>
      </c>
      <c r="AW106" s="9">
        <v>1.02</v>
      </c>
      <c r="AX106" s="9">
        <v>0.95</v>
      </c>
      <c r="AY106" s="75">
        <v>0.8</v>
      </c>
      <c r="AZ106" s="9">
        <v>3.04</v>
      </c>
      <c r="BA106" s="9">
        <v>1.69</v>
      </c>
      <c r="BB106" s="9">
        <v>1.29</v>
      </c>
      <c r="BC106" s="9">
        <v>1.1200000000000001</v>
      </c>
      <c r="BD106" s="9">
        <v>1.04</v>
      </c>
      <c r="BE106" s="9">
        <v>0.96</v>
      </c>
      <c r="BF106" s="9">
        <v>0.92</v>
      </c>
      <c r="BG106" s="9">
        <v>0.91</v>
      </c>
      <c r="BH106" s="9">
        <v>0.87</v>
      </c>
      <c r="BI106" s="9">
        <v>0.75</v>
      </c>
      <c r="BJ106" s="75">
        <v>2.5499999999999998</v>
      </c>
      <c r="BK106" s="9">
        <v>1.43</v>
      </c>
      <c r="BL106" s="9">
        <v>1.07</v>
      </c>
      <c r="BM106" s="75">
        <v>0.92</v>
      </c>
      <c r="BN106" s="75">
        <v>0.86</v>
      </c>
      <c r="BO106" s="75">
        <v>0.83</v>
      </c>
      <c r="BP106" s="75">
        <v>0.8</v>
      </c>
      <c r="BQ106" s="75">
        <v>0.72</v>
      </c>
      <c r="BR106" s="75">
        <v>0.71</v>
      </c>
      <c r="BS106" s="75">
        <v>0.64</v>
      </c>
      <c r="BT106" s="75">
        <v>1.69</v>
      </c>
      <c r="BU106" s="75">
        <v>0.98</v>
      </c>
      <c r="BV106" s="75">
        <v>0.89</v>
      </c>
      <c r="BW106" s="75">
        <v>0.77</v>
      </c>
      <c r="BX106" s="75">
        <v>0.71</v>
      </c>
      <c r="BY106" s="75">
        <v>0.67</v>
      </c>
      <c r="BZ106" s="75">
        <v>0.59</v>
      </c>
      <c r="CA106" s="75" t="s">
        <v>243</v>
      </c>
      <c r="CB106" s="75" t="s">
        <v>243</v>
      </c>
      <c r="CC106" s="75" t="s">
        <v>243</v>
      </c>
      <c r="CD106" s="75" t="s">
        <v>113</v>
      </c>
      <c r="CE106" s="9"/>
      <c r="CF106" s="26"/>
      <c r="CG106" s="26"/>
      <c r="CH106" s="26"/>
      <c r="CI106" s="26"/>
      <c r="CJ106" s="9"/>
      <c r="CK106" s="9"/>
      <c r="CL106" s="9">
        <v>0.6</v>
      </c>
      <c r="CM106" s="9"/>
      <c r="CN106" s="102">
        <v>6724101</v>
      </c>
      <c r="CO106" s="60" t="s">
        <v>108</v>
      </c>
      <c r="CP106" s="12">
        <v>1</v>
      </c>
      <c r="CQ106" s="12">
        <v>20</v>
      </c>
      <c r="CR106" s="12">
        <v>4</v>
      </c>
      <c r="CS106" s="12" t="e">
        <f>CP106*CO106*CQ106/CR106/1000</f>
        <v>#VALUE!</v>
      </c>
      <c r="CT106" s="12">
        <f t="shared" si="26"/>
        <v>5</v>
      </c>
      <c r="CU106" s="12"/>
      <c r="CV106" s="64" t="s">
        <v>109</v>
      </c>
      <c r="CW106" s="67" t="s">
        <v>113</v>
      </c>
      <c r="CX106" s="64" t="s">
        <v>109</v>
      </c>
      <c r="CY106" s="67" t="s">
        <v>113</v>
      </c>
      <c r="CZ106" s="64" t="s">
        <v>109</v>
      </c>
      <c r="DA106" s="67" t="s">
        <v>113</v>
      </c>
      <c r="DB106" s="64" t="s">
        <v>109</v>
      </c>
      <c r="DC106" s="67" t="s">
        <v>113</v>
      </c>
      <c r="DD106" s="64" t="s">
        <v>109</v>
      </c>
      <c r="DE106" s="67" t="s">
        <v>113</v>
      </c>
      <c r="DF106" s="64" t="s">
        <v>109</v>
      </c>
      <c r="DG106" s="67" t="s">
        <v>113</v>
      </c>
      <c r="DH106" s="64" t="s">
        <v>109</v>
      </c>
      <c r="DI106" s="67" t="s">
        <v>113</v>
      </c>
      <c r="DJ106" s="42" t="s">
        <v>70</v>
      </c>
      <c r="DK106" s="42"/>
      <c r="DL106" s="43" t="s">
        <v>66</v>
      </c>
      <c r="DM106" s="43"/>
      <c r="DN106" s="12" t="s">
        <v>75</v>
      </c>
      <c r="DO106" s="5" t="s">
        <v>76</v>
      </c>
      <c r="DP106" s="5" t="s">
        <v>77</v>
      </c>
      <c r="DQ106" s="5" t="s">
        <v>78</v>
      </c>
      <c r="DR106" s="61" t="s">
        <v>83</v>
      </c>
      <c r="DS106" s="5">
        <v>6729995</v>
      </c>
      <c r="DT106" s="61" t="s">
        <v>108</v>
      </c>
      <c r="DU106" s="5">
        <v>6724101</v>
      </c>
      <c r="DV106" s="5">
        <v>6724085</v>
      </c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</row>
    <row r="107" spans="1:193" s="5" customFormat="1" ht="15">
      <c r="A107" s="46" t="s">
        <v>139</v>
      </c>
      <c r="B107" s="46"/>
      <c r="C107" s="46"/>
      <c r="D107" s="5">
        <v>12</v>
      </c>
      <c r="E107" s="12">
        <v>4650</v>
      </c>
      <c r="F107" s="12">
        <v>33033</v>
      </c>
      <c r="G107" s="12">
        <v>2810</v>
      </c>
      <c r="H107" s="12">
        <v>1735</v>
      </c>
      <c r="I107" s="12">
        <v>4138</v>
      </c>
      <c r="J107" s="26">
        <f>(I107+K107)/2</f>
        <v>3678.5</v>
      </c>
      <c r="K107" s="80">
        <v>3219</v>
      </c>
      <c r="L107" s="26">
        <f>(K107+M107)/2</f>
        <v>2818.5</v>
      </c>
      <c r="M107" s="9">
        <v>2418</v>
      </c>
      <c r="N107" s="26">
        <f>(M107+O107)/2</f>
        <v>2023</v>
      </c>
      <c r="O107" s="26">
        <v>1628</v>
      </c>
      <c r="P107" s="9" t="s">
        <v>52</v>
      </c>
      <c r="Q107" s="9">
        <v>22</v>
      </c>
      <c r="R107" s="97" t="s">
        <v>139</v>
      </c>
      <c r="S107" s="46">
        <v>6703389</v>
      </c>
      <c r="T107" s="97" t="s">
        <v>141</v>
      </c>
      <c r="U107" s="46"/>
      <c r="V107" s="9">
        <v>54.4</v>
      </c>
      <c r="W107" s="5">
        <v>6724086</v>
      </c>
      <c r="X107" s="26">
        <v>52.4</v>
      </c>
      <c r="Y107" s="26" t="s">
        <v>53</v>
      </c>
      <c r="Z107" s="59">
        <v>47.1</v>
      </c>
      <c r="AA107" s="26" t="s">
        <v>53</v>
      </c>
      <c r="AB107" s="59">
        <v>40.799999999999997</v>
      </c>
      <c r="AC107" s="26" t="s">
        <v>53</v>
      </c>
      <c r="AD107" s="59">
        <v>31.6</v>
      </c>
      <c r="AE107" s="59"/>
      <c r="AF107" s="59">
        <v>3.86</v>
      </c>
      <c r="AG107" s="9">
        <v>2.83</v>
      </c>
      <c r="AH107" s="9">
        <v>2.04</v>
      </c>
      <c r="AI107" s="9">
        <v>2</v>
      </c>
      <c r="AJ107" s="9">
        <v>1.7</v>
      </c>
      <c r="AK107" s="9">
        <v>1.61</v>
      </c>
      <c r="AL107" s="9">
        <v>1.67</v>
      </c>
      <c r="AM107" s="9">
        <v>1.46</v>
      </c>
      <c r="AN107" s="9">
        <v>1.28</v>
      </c>
      <c r="AO107" s="9">
        <v>1.21</v>
      </c>
      <c r="AP107" s="9">
        <v>3.74</v>
      </c>
      <c r="AQ107" s="9">
        <v>2.66</v>
      </c>
      <c r="AR107" s="9">
        <v>2.11</v>
      </c>
      <c r="AS107" s="9">
        <v>1.78</v>
      </c>
      <c r="AT107" s="9">
        <v>1.72</v>
      </c>
      <c r="AU107" s="9">
        <v>1.72</v>
      </c>
      <c r="AV107" s="9">
        <v>1.49</v>
      </c>
      <c r="AW107" s="9">
        <v>1.4</v>
      </c>
      <c r="AX107" s="9">
        <v>1.33</v>
      </c>
      <c r="AY107" s="9">
        <v>1.06</v>
      </c>
      <c r="AZ107" s="9">
        <v>3.07</v>
      </c>
      <c r="BA107" s="9">
        <v>2.0499999999999998</v>
      </c>
      <c r="BB107" s="9">
        <v>1.6</v>
      </c>
      <c r="BC107" s="9">
        <v>1.44</v>
      </c>
      <c r="BD107" s="9">
        <v>1.28</v>
      </c>
      <c r="BE107" s="9">
        <v>1.1000000000000001</v>
      </c>
      <c r="BF107" s="9">
        <v>1.1599999999999999</v>
      </c>
      <c r="BG107" s="9">
        <v>1.08</v>
      </c>
      <c r="BH107" s="9">
        <v>1.07</v>
      </c>
      <c r="BI107" s="9">
        <v>0.85</v>
      </c>
      <c r="BJ107" s="75">
        <v>2.2599999999999998</v>
      </c>
      <c r="BK107" s="9">
        <v>1.64</v>
      </c>
      <c r="BL107" s="9">
        <v>1.3</v>
      </c>
      <c r="BM107" s="75">
        <v>1.1399999999999999</v>
      </c>
      <c r="BN107" s="75">
        <v>0.93</v>
      </c>
      <c r="BO107" s="75">
        <v>0.96</v>
      </c>
      <c r="BP107" s="75">
        <v>0.95</v>
      </c>
      <c r="BQ107" s="75">
        <v>0.76</v>
      </c>
      <c r="BR107" s="75">
        <v>0.82</v>
      </c>
      <c r="BS107" s="75">
        <v>0.7</v>
      </c>
      <c r="BT107" s="75">
        <v>1.57</v>
      </c>
      <c r="BU107" s="75">
        <v>1.1200000000000001</v>
      </c>
      <c r="BV107" s="75">
        <v>0.95</v>
      </c>
      <c r="BW107" s="75">
        <v>0.78</v>
      </c>
      <c r="BX107" s="75">
        <v>0.76</v>
      </c>
      <c r="BY107" s="75">
        <v>0.84</v>
      </c>
      <c r="BZ107" s="75" t="s">
        <v>243</v>
      </c>
      <c r="CA107" s="75" t="s">
        <v>243</v>
      </c>
      <c r="CB107" s="75" t="s">
        <v>243</v>
      </c>
      <c r="CC107" s="75" t="s">
        <v>243</v>
      </c>
      <c r="CD107" s="75" t="s">
        <v>113</v>
      </c>
      <c r="CE107" s="9"/>
      <c r="CF107" s="26"/>
      <c r="CG107" s="26"/>
      <c r="CH107" s="26"/>
      <c r="CI107" s="26"/>
      <c r="CJ107" s="9"/>
      <c r="CK107" s="9"/>
      <c r="CL107" s="9">
        <v>1.2</v>
      </c>
      <c r="CM107" s="9"/>
      <c r="CN107" s="102">
        <v>6724102</v>
      </c>
      <c r="CO107" s="60" t="s">
        <v>107</v>
      </c>
      <c r="CP107" s="12">
        <v>2</v>
      </c>
      <c r="CQ107" s="12">
        <v>20</v>
      </c>
      <c r="CR107" s="12">
        <v>6</v>
      </c>
      <c r="CS107" s="12" t="e">
        <f>CP107*CO107*CQ107/CR107/1000</f>
        <v>#VALUE!</v>
      </c>
      <c r="CT107" s="12">
        <f t="shared" si="26"/>
        <v>6.666666666666667</v>
      </c>
      <c r="CU107" s="12"/>
      <c r="CV107" s="64" t="s">
        <v>109</v>
      </c>
      <c r="CW107" s="67" t="s">
        <v>113</v>
      </c>
      <c r="CX107" s="64" t="s">
        <v>109</v>
      </c>
      <c r="CY107" s="67" t="s">
        <v>113</v>
      </c>
      <c r="CZ107" s="64" t="s">
        <v>109</v>
      </c>
      <c r="DA107" s="67" t="s">
        <v>113</v>
      </c>
      <c r="DB107" s="64" t="s">
        <v>109</v>
      </c>
      <c r="DC107" s="67" t="s">
        <v>113</v>
      </c>
      <c r="DD107" s="64" t="s">
        <v>109</v>
      </c>
      <c r="DE107" s="67" t="s">
        <v>113</v>
      </c>
      <c r="DF107" s="64" t="s">
        <v>109</v>
      </c>
      <c r="DG107" s="67" t="s">
        <v>113</v>
      </c>
      <c r="DH107" s="64" t="s">
        <v>109</v>
      </c>
      <c r="DI107" s="67" t="s">
        <v>113</v>
      </c>
      <c r="DJ107" s="42" t="s">
        <v>70</v>
      </c>
      <c r="DK107" s="42"/>
      <c r="DL107" s="43" t="s">
        <v>66</v>
      </c>
      <c r="DM107" s="43"/>
      <c r="DN107" s="12" t="s">
        <v>75</v>
      </c>
      <c r="DO107" s="5" t="s">
        <v>76</v>
      </c>
      <c r="DP107" s="5" t="s">
        <v>77</v>
      </c>
      <c r="DQ107" s="5" t="s">
        <v>78</v>
      </c>
      <c r="DR107" s="5" t="s">
        <v>82</v>
      </c>
      <c r="DS107" s="5">
        <v>6729997</v>
      </c>
      <c r="DT107" s="61" t="s">
        <v>107</v>
      </c>
      <c r="DU107" s="5">
        <v>6724102</v>
      </c>
      <c r="DV107" s="5">
        <v>6724086</v>
      </c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</row>
    <row r="108" spans="1:193" s="5" customFormat="1" ht="15">
      <c r="A108" s="46"/>
      <c r="B108" s="46"/>
      <c r="C108" s="46"/>
      <c r="D108" s="5">
        <v>13</v>
      </c>
      <c r="E108" s="12"/>
      <c r="F108" s="12">
        <v>45000</v>
      </c>
      <c r="G108" s="12">
        <v>2575</v>
      </c>
      <c r="H108" s="12">
        <v>1550</v>
      </c>
      <c r="I108" s="12"/>
      <c r="J108" s="12"/>
      <c r="K108" s="80"/>
      <c r="L108" s="12"/>
      <c r="M108" s="9"/>
      <c r="N108" s="26"/>
      <c r="O108" s="26"/>
      <c r="P108" s="9" t="s">
        <v>93</v>
      </c>
      <c r="Q108" s="9">
        <v>34</v>
      </c>
      <c r="R108" s="97" t="s">
        <v>140</v>
      </c>
      <c r="S108" s="46"/>
      <c r="T108" s="97" t="s">
        <v>141</v>
      </c>
      <c r="U108" s="46"/>
      <c r="V108" s="9"/>
      <c r="W108" s="5">
        <v>6724087</v>
      </c>
      <c r="X108" s="26" t="s">
        <v>53</v>
      </c>
      <c r="Y108" s="26" t="s">
        <v>53</v>
      </c>
      <c r="Z108" s="59"/>
      <c r="AA108" s="26" t="s">
        <v>53</v>
      </c>
      <c r="AB108" s="59"/>
      <c r="AC108" s="26" t="s">
        <v>53</v>
      </c>
      <c r="AD108" s="59"/>
      <c r="AE108" s="59"/>
      <c r="AF108" s="5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75"/>
      <c r="BK108" s="9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 t="s">
        <v>113</v>
      </c>
      <c r="CE108" s="9"/>
      <c r="CF108" s="26"/>
      <c r="CG108" s="26"/>
      <c r="CH108" s="26"/>
      <c r="CI108" s="26"/>
      <c r="CJ108" s="9"/>
      <c r="CK108" s="9"/>
      <c r="CL108" s="9">
        <v>2.2000000000000002</v>
      </c>
      <c r="CM108" s="9"/>
      <c r="CN108" s="102">
        <v>6724103</v>
      </c>
      <c r="CO108" s="60" t="s">
        <v>106</v>
      </c>
      <c r="CP108" s="12">
        <v>3</v>
      </c>
      <c r="CQ108" s="12">
        <v>20</v>
      </c>
      <c r="CR108" s="12">
        <v>9</v>
      </c>
      <c r="CS108" s="12" t="e">
        <f>CP108*CO108*CQ108/CR108/1000</f>
        <v>#VALUE!</v>
      </c>
      <c r="CT108" s="12">
        <f t="shared" si="26"/>
        <v>6.666666666666667</v>
      </c>
      <c r="CU108" s="12"/>
      <c r="CV108" s="64" t="s">
        <v>109</v>
      </c>
      <c r="CW108" s="67" t="s">
        <v>113</v>
      </c>
      <c r="CX108" s="64" t="s">
        <v>109</v>
      </c>
      <c r="CY108" s="67" t="s">
        <v>113</v>
      </c>
      <c r="CZ108" s="64" t="s">
        <v>109</v>
      </c>
      <c r="DA108" s="67" t="s">
        <v>113</v>
      </c>
      <c r="DB108" s="64" t="s">
        <v>109</v>
      </c>
      <c r="DC108" s="67" t="s">
        <v>113</v>
      </c>
      <c r="DD108" s="64" t="s">
        <v>109</v>
      </c>
      <c r="DE108" s="67" t="s">
        <v>113</v>
      </c>
      <c r="DF108" s="64" t="s">
        <v>109</v>
      </c>
      <c r="DG108" s="67" t="s">
        <v>113</v>
      </c>
      <c r="DH108" s="64" t="s">
        <v>109</v>
      </c>
      <c r="DI108" s="67" t="s">
        <v>113</v>
      </c>
      <c r="DJ108" s="42" t="s">
        <v>70</v>
      </c>
      <c r="DK108" s="42"/>
      <c r="DL108" s="43" t="s">
        <v>66</v>
      </c>
      <c r="DM108" s="43"/>
      <c r="DN108" s="12" t="s">
        <v>75</v>
      </c>
      <c r="DO108" s="5" t="s">
        <v>76</v>
      </c>
      <c r="DP108" s="5" t="s">
        <v>77</v>
      </c>
      <c r="DQ108" s="5" t="s">
        <v>78</v>
      </c>
      <c r="DR108" s="61" t="s">
        <v>82</v>
      </c>
      <c r="DS108" s="5">
        <v>6729997</v>
      </c>
      <c r="DT108" s="61" t="s">
        <v>106</v>
      </c>
      <c r="DU108" s="5">
        <v>6724103</v>
      </c>
      <c r="DV108" s="5">
        <v>6724087</v>
      </c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</row>
    <row r="109" spans="1:193" s="5" customFormat="1" ht="15">
      <c r="A109" s="46"/>
      <c r="B109" s="46"/>
      <c r="C109" s="46"/>
      <c r="E109" s="12"/>
      <c r="F109" s="12"/>
      <c r="G109" s="12"/>
      <c r="H109" s="12"/>
      <c r="I109" s="12"/>
      <c r="J109" s="12"/>
      <c r="K109" s="80"/>
      <c r="L109" s="12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24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42"/>
      <c r="DC109" s="42"/>
      <c r="DD109" s="43"/>
      <c r="DE109" s="43"/>
      <c r="DF109" s="43"/>
      <c r="DG109" s="43"/>
      <c r="DH109" s="43"/>
      <c r="DI109" s="43"/>
      <c r="DJ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</row>
    <row r="110" spans="1:193" s="5" customFormat="1" ht="15">
      <c r="A110" s="46"/>
      <c r="B110" s="46"/>
      <c r="C110" s="46"/>
      <c r="E110" s="12"/>
      <c r="F110" s="12"/>
      <c r="G110" s="12"/>
      <c r="H110" s="12"/>
      <c r="I110" s="12"/>
      <c r="J110" s="12"/>
      <c r="K110" s="80"/>
      <c r="L110" s="12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24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42"/>
      <c r="DC110" s="42"/>
      <c r="DD110" s="43"/>
      <c r="DE110" s="43"/>
      <c r="DF110" s="43"/>
      <c r="DG110" s="43"/>
      <c r="DH110" s="43"/>
      <c r="DI110" s="43"/>
      <c r="DJ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</row>
    <row r="111" spans="1:193" s="5" customFormat="1" ht="15">
      <c r="A111" s="46"/>
      <c r="B111" s="46"/>
      <c r="C111" s="46"/>
      <c r="E111" s="12"/>
      <c r="F111" s="12"/>
      <c r="G111" s="12"/>
      <c r="H111" s="12"/>
      <c r="I111" s="12"/>
      <c r="J111" s="12"/>
      <c r="K111" s="80"/>
      <c r="L111" s="12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24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42"/>
      <c r="DC111" s="42"/>
      <c r="DD111" s="43"/>
      <c r="DE111" s="43"/>
      <c r="DF111" s="43"/>
      <c r="DG111" s="43"/>
      <c r="DH111" s="43"/>
      <c r="DI111" s="43"/>
      <c r="DJ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</row>
    <row r="112" spans="1:193" s="5" customFormat="1" ht="15">
      <c r="A112" s="46"/>
      <c r="B112" s="46"/>
      <c r="C112" s="46"/>
      <c r="E112" s="12"/>
      <c r="F112" s="12"/>
      <c r="G112" s="12"/>
      <c r="H112" s="12"/>
      <c r="I112" s="12"/>
      <c r="J112" s="12"/>
      <c r="K112" s="80"/>
      <c r="L112" s="12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24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42"/>
      <c r="DC112" s="42"/>
      <c r="DD112" s="43"/>
      <c r="DE112" s="43"/>
      <c r="DF112" s="43"/>
      <c r="DG112" s="43"/>
      <c r="DH112" s="43"/>
      <c r="DI112" s="43"/>
      <c r="DJ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</row>
    <row r="113" spans="1:189" s="5" customFormat="1" ht="15">
      <c r="A113" s="46"/>
      <c r="B113" s="46"/>
      <c r="C113" s="46"/>
      <c r="E113" s="12"/>
      <c r="F113" s="12"/>
      <c r="G113" s="12"/>
      <c r="H113" s="12"/>
      <c r="I113" s="12"/>
      <c r="J113" s="12"/>
      <c r="K113" s="80"/>
      <c r="L113" s="12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24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42"/>
      <c r="DC113" s="42"/>
      <c r="DD113" s="43"/>
      <c r="DE113" s="43"/>
      <c r="DF113" s="43"/>
      <c r="DG113" s="43"/>
      <c r="DH113" s="43"/>
      <c r="DI113" s="43"/>
      <c r="DJ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</row>
    <row r="114" spans="1:189" s="5" customFormat="1" ht="15">
      <c r="A114" s="46"/>
      <c r="B114" s="46"/>
      <c r="C114" s="46"/>
      <c r="E114" s="12"/>
      <c r="F114" s="12"/>
      <c r="G114" s="12"/>
      <c r="H114" s="12"/>
      <c r="I114" s="12"/>
      <c r="J114" s="12"/>
      <c r="K114" s="80"/>
      <c r="L114" s="12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26"/>
      <c r="CG114" s="26"/>
      <c r="CH114" s="26"/>
      <c r="CI114" s="26"/>
      <c r="CJ114" s="24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42"/>
      <c r="DC114" s="42"/>
      <c r="DD114" s="43"/>
      <c r="DE114" s="43"/>
      <c r="DF114" s="43"/>
      <c r="DG114" s="43"/>
      <c r="DH114" s="43"/>
      <c r="DI114" s="43"/>
      <c r="DJ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</row>
    <row r="115" spans="1:189" s="5" customFormat="1" ht="15">
      <c r="A115" s="46"/>
      <c r="B115" s="46"/>
      <c r="C115" s="46"/>
      <c r="E115" s="12"/>
      <c r="F115" s="12"/>
      <c r="G115" s="12"/>
      <c r="H115" s="12"/>
      <c r="I115" s="12"/>
      <c r="J115" s="12"/>
      <c r="K115" s="80"/>
      <c r="L115" s="12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26"/>
      <c r="CG115" s="26"/>
      <c r="CH115" s="26"/>
      <c r="CI115" s="26"/>
      <c r="CJ115" s="24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42"/>
      <c r="DC115" s="42"/>
      <c r="DD115" s="43"/>
      <c r="DE115" s="43"/>
      <c r="DF115" s="43"/>
      <c r="DG115" s="43"/>
      <c r="DH115" s="43"/>
      <c r="DI115" s="43"/>
      <c r="DJ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</row>
    <row r="116" spans="1:189" s="5" customFormat="1" ht="15">
      <c r="A116" s="46"/>
      <c r="B116" s="46"/>
      <c r="C116" s="46"/>
      <c r="E116" s="12"/>
      <c r="F116" s="12"/>
      <c r="G116" s="12"/>
      <c r="H116" s="12"/>
      <c r="I116" s="12"/>
      <c r="J116" s="12"/>
      <c r="K116" s="80"/>
      <c r="L116" s="12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26"/>
      <c r="CG116" s="26"/>
      <c r="CH116" s="26"/>
      <c r="CI116" s="26"/>
      <c r="CJ116" s="24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42"/>
      <c r="DC116" s="42"/>
      <c r="DD116" s="43"/>
      <c r="DE116" s="43"/>
      <c r="DF116" s="43"/>
      <c r="DG116" s="43"/>
      <c r="DH116" s="43"/>
      <c r="DI116" s="43"/>
      <c r="DJ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</row>
    <row r="117" spans="1:189" s="5" customFormat="1" ht="15">
      <c r="A117" s="46"/>
      <c r="B117" s="46"/>
      <c r="C117" s="46"/>
      <c r="E117" s="12"/>
      <c r="F117" s="12"/>
      <c r="G117" s="12"/>
      <c r="H117" s="12"/>
      <c r="I117" s="12"/>
      <c r="J117" s="12"/>
      <c r="K117" s="80"/>
      <c r="L117" s="12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26"/>
      <c r="CG117" s="26"/>
      <c r="CH117" s="26"/>
      <c r="CI117" s="26"/>
      <c r="CJ117" s="24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42"/>
      <c r="DC117" s="42"/>
      <c r="DD117" s="43"/>
      <c r="DE117" s="43"/>
      <c r="DF117" s="43"/>
      <c r="DG117" s="43"/>
      <c r="DH117" s="43"/>
      <c r="DI117" s="43"/>
      <c r="DJ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</row>
    <row r="118" spans="1:189" s="5" customFormat="1">
      <c r="F118" s="12"/>
      <c r="K118" s="79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</row>
    <row r="119" spans="1:189" s="5" customFormat="1">
      <c r="F119" s="12"/>
      <c r="K119" s="79"/>
      <c r="P119" s="7"/>
      <c r="Q119" s="7"/>
      <c r="R119" s="7"/>
      <c r="S119" s="7"/>
      <c r="T119" s="7"/>
      <c r="U119" s="7"/>
      <c r="V119" s="7"/>
      <c r="W119" s="7" t="s">
        <v>120</v>
      </c>
      <c r="X119" s="7" t="s">
        <v>121</v>
      </c>
      <c r="Y119" s="7" t="s">
        <v>122</v>
      </c>
      <c r="Z119" s="7" t="s">
        <v>123</v>
      </c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</row>
    <row r="120" spans="1:189" s="5" customFormat="1">
      <c r="D120" s="6" t="s">
        <v>54</v>
      </c>
      <c r="F120" s="12"/>
      <c r="H120" s="5" t="s">
        <v>55</v>
      </c>
      <c r="K120" s="79"/>
      <c r="M120" s="5" t="s">
        <v>56</v>
      </c>
      <c r="P120" s="7"/>
      <c r="Q120" s="7"/>
      <c r="R120" s="7"/>
      <c r="S120" s="7"/>
      <c r="T120" s="7"/>
      <c r="U120" s="7"/>
      <c r="V120" s="57" t="s">
        <v>89</v>
      </c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</row>
    <row r="121" spans="1:189" s="5" customFormat="1">
      <c r="D121" s="10" t="s">
        <v>4</v>
      </c>
      <c r="E121" s="10" t="s">
        <v>57</v>
      </c>
      <c r="F121" s="6"/>
      <c r="G121" s="6"/>
      <c r="H121" s="6"/>
      <c r="I121" s="6"/>
      <c r="J121" s="6"/>
      <c r="K121" s="81"/>
      <c r="L121" s="6"/>
      <c r="M121" s="6"/>
      <c r="N121" s="6"/>
      <c r="O121" s="6"/>
      <c r="P121" s="7"/>
      <c r="Q121" s="8"/>
      <c r="R121" s="58" t="s">
        <v>88</v>
      </c>
      <c r="S121" s="58"/>
      <c r="T121" s="58"/>
      <c r="U121" s="58"/>
      <c r="V121" s="57" t="s">
        <v>144</v>
      </c>
      <c r="W121" s="57" t="s">
        <v>147</v>
      </c>
      <c r="X121" s="57" t="s">
        <v>145</v>
      </c>
      <c r="Y121" s="57" t="s">
        <v>148</v>
      </c>
      <c r="Z121" s="57" t="s">
        <v>146</v>
      </c>
      <c r="AA121" s="7" t="s">
        <v>149</v>
      </c>
      <c r="AB121" s="7" t="s">
        <v>156</v>
      </c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7"/>
      <c r="BY121" s="7"/>
      <c r="BZ121" s="7"/>
      <c r="CA121" s="7"/>
      <c r="CB121" s="7"/>
      <c r="CC121" s="7"/>
      <c r="CD121" s="9"/>
      <c r="CE121" s="9"/>
      <c r="CF121" s="7"/>
      <c r="CG121" s="7"/>
      <c r="CH121" s="9"/>
      <c r="CI121" s="9"/>
      <c r="CJ121" s="11"/>
    </row>
    <row r="122" spans="1:189" s="5" customFormat="1">
      <c r="C122" s="5">
        <f>33.5/34.9*56640</f>
        <v>54367.90830945559</v>
      </c>
      <c r="D122" s="6"/>
      <c r="E122" s="6"/>
      <c r="F122" s="6"/>
      <c r="G122" s="6"/>
      <c r="H122" s="6"/>
      <c r="I122" s="5" t="s">
        <v>58</v>
      </c>
      <c r="J122" s="56" t="s">
        <v>59</v>
      </c>
      <c r="K122" s="82" t="s">
        <v>60</v>
      </c>
      <c r="L122" s="6"/>
      <c r="M122" s="12">
        <v>15</v>
      </c>
      <c r="N122" s="12">
        <v>0.29799999999999999</v>
      </c>
      <c r="O122" s="6"/>
      <c r="P122" s="7"/>
      <c r="Q122" s="8"/>
      <c r="R122" s="8">
        <v>1</v>
      </c>
      <c r="S122" s="8"/>
      <c r="T122" s="8"/>
      <c r="U122" s="8"/>
      <c r="V122" s="7">
        <v>1.03</v>
      </c>
      <c r="W122" s="7">
        <v>1.08</v>
      </c>
      <c r="X122" s="7">
        <v>1.1599999999999999</v>
      </c>
      <c r="Y122" s="7">
        <v>1.1200000000000001</v>
      </c>
      <c r="Z122" s="7">
        <v>1.28</v>
      </c>
      <c r="AA122" s="7">
        <v>1.5</v>
      </c>
      <c r="AB122" s="7">
        <v>1.9</v>
      </c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7"/>
      <c r="BY122" s="7"/>
      <c r="BZ122" s="7"/>
      <c r="CA122" s="7"/>
      <c r="CB122" s="7"/>
      <c r="CC122" s="7"/>
      <c r="CD122" s="9"/>
      <c r="CE122" s="9"/>
      <c r="CF122" s="7"/>
      <c r="CG122" s="7"/>
      <c r="CH122" s="9"/>
      <c r="CI122" s="9"/>
      <c r="CJ122" s="11"/>
    </row>
    <row r="123" spans="1:189" s="5" customFormat="1">
      <c r="D123" s="6">
        <v>-20</v>
      </c>
      <c r="E123" s="6">
        <v>0.33400000000000002</v>
      </c>
      <c r="F123" s="6"/>
      <c r="G123" s="12"/>
      <c r="H123" s="12"/>
      <c r="I123" s="12"/>
      <c r="J123" s="12"/>
      <c r="K123" s="80"/>
      <c r="L123" s="6"/>
      <c r="M123" s="12">
        <v>16</v>
      </c>
      <c r="N123" s="12">
        <f>+N122+(N127-N122)/5</f>
        <v>0.31240000000000001</v>
      </c>
      <c r="O123" s="6"/>
      <c r="P123" s="7"/>
      <c r="Q123" s="8"/>
      <c r="R123" s="8">
        <v>2</v>
      </c>
      <c r="S123" s="8"/>
      <c r="T123" s="8"/>
      <c r="U123" s="8"/>
      <c r="V123" s="7">
        <v>1.03</v>
      </c>
      <c r="W123" s="7">
        <v>1.06</v>
      </c>
      <c r="X123" s="7">
        <v>1.1100000000000001</v>
      </c>
      <c r="Y123" s="7">
        <v>0.98</v>
      </c>
      <c r="Z123" s="7">
        <v>1.04</v>
      </c>
      <c r="AA123" s="7">
        <v>1.1200000000000001</v>
      </c>
      <c r="AB123" s="7">
        <v>1.26</v>
      </c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7"/>
      <c r="BY123" s="7"/>
      <c r="BZ123" s="7"/>
      <c r="CA123" s="7"/>
      <c r="CB123" s="7"/>
      <c r="CC123" s="7"/>
      <c r="CD123" s="9"/>
      <c r="CE123" s="9"/>
      <c r="CF123" s="7"/>
      <c r="CG123" s="7"/>
      <c r="CH123" s="9"/>
      <c r="CI123" s="9"/>
      <c r="CJ123" s="11"/>
    </row>
    <row r="124" spans="1:189" s="5" customFormat="1">
      <c r="D124" s="6">
        <v>-15</v>
      </c>
      <c r="E124" s="6">
        <v>0.32800000000000001</v>
      </c>
      <c r="F124" s="6"/>
      <c r="G124" s="12"/>
      <c r="H124" s="12">
        <v>10</v>
      </c>
      <c r="I124" s="12">
        <v>0.14399999999999999</v>
      </c>
      <c r="J124" s="12"/>
      <c r="K124" s="80"/>
      <c r="L124" s="6"/>
      <c r="M124" s="12">
        <v>17</v>
      </c>
      <c r="N124" s="12">
        <f>+N122+2*(N127-N122)/5</f>
        <v>0.32679999999999998</v>
      </c>
      <c r="O124" s="6"/>
      <c r="P124" s="7"/>
      <c r="Q124" s="8"/>
      <c r="R124" s="8">
        <v>3</v>
      </c>
      <c r="S124" s="8"/>
      <c r="T124" s="8"/>
      <c r="U124" s="8"/>
      <c r="V124" s="7">
        <v>1.04</v>
      </c>
      <c r="W124" s="7">
        <v>1.06</v>
      </c>
      <c r="X124" s="7">
        <v>1.17</v>
      </c>
      <c r="Y124" s="7">
        <v>1.1000000000000001</v>
      </c>
      <c r="Z124" s="7">
        <v>1.3</v>
      </c>
      <c r="AA124" s="7">
        <v>1.5</v>
      </c>
      <c r="AB124" s="7">
        <v>1.8</v>
      </c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7"/>
      <c r="BY124" s="7"/>
      <c r="BZ124" s="7"/>
      <c r="CA124" s="7"/>
      <c r="CB124" s="7"/>
      <c r="CC124" s="7"/>
      <c r="CD124" s="9"/>
      <c r="CE124" s="9"/>
      <c r="CF124" s="7"/>
      <c r="CG124" s="7"/>
      <c r="CH124" s="9"/>
      <c r="CI124" s="9"/>
      <c r="CJ124" s="11"/>
    </row>
    <row r="125" spans="1:189" s="5" customFormat="1">
      <c r="D125" s="6">
        <v>-10</v>
      </c>
      <c r="E125" s="6">
        <v>0.32200000000000001</v>
      </c>
      <c r="F125" s="6"/>
      <c r="G125" s="12"/>
      <c r="H125" s="12">
        <v>11</v>
      </c>
      <c r="I125" s="12">
        <f>I124+(I129-I124)/5</f>
        <v>0.16</v>
      </c>
      <c r="J125" s="12"/>
      <c r="K125" s="80"/>
      <c r="L125" s="6"/>
      <c r="M125" s="12">
        <v>18</v>
      </c>
      <c r="N125" s="12">
        <f>+N122+3*(N127-N122)/5</f>
        <v>0.3412</v>
      </c>
      <c r="O125" s="6"/>
      <c r="P125" s="7"/>
      <c r="Q125" s="8"/>
      <c r="R125" s="8">
        <v>4</v>
      </c>
      <c r="S125" s="8"/>
      <c r="T125" s="8"/>
      <c r="U125" s="8"/>
      <c r="V125" s="5">
        <v>1</v>
      </c>
      <c r="W125" s="5">
        <v>1.01</v>
      </c>
      <c r="X125" s="5">
        <v>1.1000000000000001</v>
      </c>
      <c r="Y125" s="5">
        <v>1.32</v>
      </c>
      <c r="Z125" s="5">
        <v>1.45</v>
      </c>
      <c r="AA125" s="7"/>
      <c r="AB125" s="7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7"/>
      <c r="BY125" s="7"/>
      <c r="BZ125" s="7"/>
      <c r="CA125" s="7"/>
      <c r="CB125" s="7"/>
      <c r="CC125" s="7"/>
      <c r="CD125" s="9"/>
      <c r="CE125" s="9"/>
      <c r="CF125" s="7"/>
      <c r="CG125" s="7"/>
      <c r="CH125" s="9"/>
      <c r="CI125" s="9"/>
      <c r="CJ125" s="11"/>
    </row>
    <row r="126" spans="1:189" s="5" customFormat="1">
      <c r="D126" s="6">
        <v>-5</v>
      </c>
      <c r="E126" s="6">
        <v>0.316</v>
      </c>
      <c r="F126" s="6"/>
      <c r="G126" s="12"/>
      <c r="H126" s="12">
        <v>12</v>
      </c>
      <c r="I126" s="12">
        <f>I124+2*(I129-I124)/5</f>
        <v>0.17599999999999999</v>
      </c>
      <c r="J126" s="12"/>
      <c r="K126" s="80"/>
      <c r="L126" s="6"/>
      <c r="M126" s="12">
        <v>19</v>
      </c>
      <c r="N126" s="12">
        <f>+N122+4*(N127-N122)/5</f>
        <v>0.35559999999999997</v>
      </c>
      <c r="O126" s="6"/>
      <c r="P126" s="7"/>
      <c r="Q126" s="8"/>
      <c r="R126" s="8">
        <v>5</v>
      </c>
      <c r="S126" s="8"/>
      <c r="T126" s="8"/>
      <c r="U126" s="8"/>
      <c r="V126" s="7"/>
      <c r="W126" s="7"/>
      <c r="X126" s="7"/>
      <c r="Y126" s="7"/>
      <c r="Z126" s="7"/>
      <c r="AA126" s="7"/>
      <c r="AB126" s="7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7"/>
      <c r="BY126" s="7"/>
      <c r="BZ126" s="7"/>
      <c r="CA126" s="7"/>
      <c r="CB126" s="7"/>
      <c r="CC126" s="7"/>
      <c r="CD126" s="9"/>
      <c r="CE126" s="9"/>
      <c r="CF126" s="7"/>
      <c r="CG126" s="7"/>
      <c r="CH126" s="9"/>
      <c r="CI126" s="9"/>
      <c r="CJ126" s="11"/>
    </row>
    <row r="127" spans="1:189" s="5" customFormat="1">
      <c r="D127" s="6">
        <v>0</v>
      </c>
      <c r="E127" s="6">
        <v>0.31</v>
      </c>
      <c r="F127" s="6"/>
      <c r="G127" s="12"/>
      <c r="H127" s="12">
        <v>13</v>
      </c>
      <c r="I127" s="12">
        <f>I124+3*(I129-I124)/5</f>
        <v>0.192</v>
      </c>
      <c r="J127" s="12"/>
      <c r="K127" s="80"/>
      <c r="L127" s="6"/>
      <c r="M127" s="12">
        <v>20</v>
      </c>
      <c r="N127" s="12">
        <v>0.37</v>
      </c>
      <c r="O127" s="6"/>
      <c r="P127" s="7"/>
      <c r="Q127" s="8"/>
      <c r="R127" s="8">
        <v>6</v>
      </c>
      <c r="S127" s="8"/>
      <c r="T127" s="8"/>
      <c r="U127" s="8"/>
      <c r="V127" s="7">
        <v>1</v>
      </c>
      <c r="W127" s="7">
        <v>1</v>
      </c>
      <c r="X127" s="7">
        <v>1.04</v>
      </c>
      <c r="Y127" s="7">
        <v>1.04</v>
      </c>
      <c r="Z127" s="7">
        <v>1.26</v>
      </c>
      <c r="AA127" s="7">
        <v>1.6</v>
      </c>
      <c r="AB127" s="7">
        <v>2.1</v>
      </c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7"/>
      <c r="BY127" s="7"/>
      <c r="BZ127" s="7"/>
      <c r="CA127" s="7"/>
      <c r="CB127" s="7"/>
      <c r="CC127" s="7"/>
      <c r="CD127" s="9"/>
      <c r="CE127" s="9"/>
      <c r="CF127" s="7"/>
      <c r="CG127" s="7"/>
      <c r="CH127" s="9"/>
      <c r="CI127" s="9"/>
    </row>
    <row r="128" spans="1:189" s="5" customFormat="1">
      <c r="D128" s="6">
        <v>5</v>
      </c>
      <c r="E128" s="6">
        <v>0.30499999999999999</v>
      </c>
      <c r="F128" s="6"/>
      <c r="G128" s="12"/>
      <c r="H128" s="12">
        <v>14</v>
      </c>
      <c r="I128" s="12">
        <f>I124+4*(I129-I124)/5</f>
        <v>0.20800000000000002</v>
      </c>
      <c r="J128" s="12"/>
      <c r="K128" s="80"/>
      <c r="L128" s="6"/>
      <c r="M128" s="12">
        <v>21</v>
      </c>
      <c r="N128" s="12">
        <f>+N127+(N132-N127)/5</f>
        <v>0.38200000000000001</v>
      </c>
      <c r="O128" s="6"/>
      <c r="P128" s="7"/>
      <c r="Q128" s="8"/>
      <c r="R128" s="8">
        <v>7</v>
      </c>
      <c r="S128" s="8"/>
      <c r="T128" s="8"/>
      <c r="U128" s="8"/>
      <c r="V128" s="7">
        <v>1.07</v>
      </c>
      <c r="W128" s="7">
        <v>1.08</v>
      </c>
      <c r="X128" s="7">
        <v>1.1499999999999999</v>
      </c>
      <c r="Y128" s="7">
        <v>1.04</v>
      </c>
      <c r="Z128" s="7">
        <v>1.1000000000000001</v>
      </c>
      <c r="AA128" s="7">
        <v>1.22</v>
      </c>
      <c r="AB128" s="7">
        <v>1.27</v>
      </c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7"/>
      <c r="BY128" s="7"/>
      <c r="BZ128" s="7"/>
      <c r="CA128" s="7"/>
      <c r="CB128" s="7"/>
      <c r="CC128" s="7"/>
      <c r="CD128" s="9"/>
      <c r="CE128" s="9"/>
      <c r="CF128" s="7"/>
      <c r="CG128" s="7"/>
      <c r="CH128" s="9"/>
      <c r="CI128" s="9"/>
    </row>
    <row r="129" spans="4:87" s="5" customFormat="1">
      <c r="D129" s="6">
        <v>10</v>
      </c>
      <c r="E129" s="6">
        <v>0.29899999999999999</v>
      </c>
      <c r="F129" s="6"/>
      <c r="G129" s="12"/>
      <c r="H129" s="12">
        <v>15</v>
      </c>
      <c r="I129" s="12">
        <v>0.224</v>
      </c>
      <c r="J129" s="12">
        <v>0.19</v>
      </c>
      <c r="K129" s="80"/>
      <c r="L129" s="6"/>
      <c r="M129" s="12">
        <v>22</v>
      </c>
      <c r="N129" s="12">
        <f>+N127+2*(N132-N127)/5</f>
        <v>0.39400000000000002</v>
      </c>
      <c r="O129" s="6"/>
      <c r="P129" s="7"/>
      <c r="Q129" s="8"/>
      <c r="R129" s="8">
        <v>8</v>
      </c>
      <c r="S129" s="8"/>
      <c r="T129" s="8"/>
      <c r="U129" s="8"/>
      <c r="V129" s="7">
        <v>1.1100000000000001</v>
      </c>
      <c r="W129" s="7">
        <v>1.1399999999999999</v>
      </c>
      <c r="X129" s="7">
        <v>1.2</v>
      </c>
      <c r="Y129" s="7">
        <v>1.1000000000000001</v>
      </c>
      <c r="Z129" s="7">
        <v>1.26</v>
      </c>
      <c r="AA129" s="7">
        <v>1.5</v>
      </c>
      <c r="AB129" s="7">
        <v>1.7</v>
      </c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7"/>
      <c r="BY129" s="7"/>
      <c r="BZ129" s="7"/>
      <c r="CA129" s="7"/>
      <c r="CB129" s="7"/>
      <c r="CC129" s="7"/>
      <c r="CD129" s="9"/>
      <c r="CE129" s="9"/>
      <c r="CF129" s="7"/>
      <c r="CG129" s="7"/>
      <c r="CH129" s="9"/>
      <c r="CI129" s="9"/>
    </row>
    <row r="130" spans="4:87" s="5" customFormat="1">
      <c r="D130" s="6">
        <v>15</v>
      </c>
      <c r="E130" s="6">
        <v>0.29399999999999998</v>
      </c>
      <c r="F130" s="6"/>
      <c r="G130" s="12"/>
      <c r="H130" s="12">
        <v>16</v>
      </c>
      <c r="I130" s="12">
        <f>I129+(I134-I129)/5</f>
        <v>0.2402</v>
      </c>
      <c r="J130" s="12">
        <f>J129+(J134-J129)/5</f>
        <v>0.2064</v>
      </c>
      <c r="K130" s="80"/>
      <c r="L130" s="6"/>
      <c r="M130" s="12">
        <v>23</v>
      </c>
      <c r="N130" s="12">
        <f>+N127+3*(N132-N127)/5</f>
        <v>0.40599999999999997</v>
      </c>
      <c r="O130" s="6"/>
      <c r="P130" s="7"/>
      <c r="Q130" s="8"/>
      <c r="R130" s="8">
        <v>9</v>
      </c>
      <c r="S130" s="8"/>
      <c r="T130" s="8"/>
      <c r="U130" s="8"/>
      <c r="V130" s="5">
        <v>1</v>
      </c>
      <c r="W130" s="5">
        <v>1.01</v>
      </c>
      <c r="X130" s="5">
        <v>1.1499999999999999</v>
      </c>
      <c r="Y130" s="5">
        <v>1.32</v>
      </c>
      <c r="Z130" s="5">
        <v>1.35</v>
      </c>
      <c r="AA130" s="7"/>
      <c r="AB130" s="7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7"/>
      <c r="BY130" s="7"/>
      <c r="BZ130" s="7"/>
      <c r="CA130" s="7"/>
      <c r="CB130" s="7"/>
      <c r="CC130" s="7"/>
      <c r="CD130" s="9"/>
      <c r="CE130" s="9"/>
      <c r="CF130" s="7"/>
      <c r="CG130" s="7"/>
      <c r="CH130" s="9"/>
      <c r="CI130" s="9"/>
    </row>
    <row r="131" spans="4:87" s="5" customFormat="1">
      <c r="D131" s="6">
        <v>20</v>
      </c>
      <c r="E131" s="6">
        <v>0.28899999999999998</v>
      </c>
      <c r="F131" s="6"/>
      <c r="G131" s="12"/>
      <c r="H131" s="12">
        <v>17</v>
      </c>
      <c r="I131" s="12">
        <f>I129+2*(I134-I129)/5</f>
        <v>0.25640000000000002</v>
      </c>
      <c r="J131" s="12">
        <f>J129+2*(J134-J129)/5</f>
        <v>0.2228</v>
      </c>
      <c r="K131" s="80"/>
      <c r="L131" s="6"/>
      <c r="M131" s="12">
        <v>24</v>
      </c>
      <c r="N131" s="12">
        <f>+N127+4*(N132-N127)/5</f>
        <v>0.41799999999999998</v>
      </c>
      <c r="O131" s="6"/>
      <c r="P131" s="7"/>
      <c r="Q131" s="8"/>
      <c r="R131" s="8">
        <v>10</v>
      </c>
      <c r="S131" s="8"/>
      <c r="T131" s="8"/>
      <c r="U131" s="8"/>
      <c r="AA131" s="7"/>
      <c r="AB131" s="7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7"/>
      <c r="BY131" s="7"/>
      <c r="BZ131" s="7"/>
      <c r="CA131" s="7"/>
      <c r="CB131" s="7"/>
      <c r="CC131" s="7"/>
      <c r="CD131" s="9"/>
      <c r="CE131" s="9"/>
      <c r="CF131" s="7"/>
      <c r="CG131" s="7"/>
      <c r="CH131" s="9"/>
      <c r="CI131" s="9"/>
    </row>
    <row r="132" spans="4:87" s="5" customFormat="1">
      <c r="D132" s="6">
        <v>25</v>
      </c>
      <c r="E132" s="6">
        <v>0.28399999999999997</v>
      </c>
      <c r="F132" s="6"/>
      <c r="G132" s="12"/>
      <c r="H132" s="12">
        <v>18</v>
      </c>
      <c r="I132" s="12">
        <f>I129+3*(I134-I129)/5</f>
        <v>0.27260000000000001</v>
      </c>
      <c r="J132" s="12">
        <f>J129+3*(J134-J129)/5</f>
        <v>0.23920000000000002</v>
      </c>
      <c r="K132" s="80"/>
      <c r="L132" s="6"/>
      <c r="M132" s="12">
        <v>25</v>
      </c>
      <c r="N132" s="12">
        <v>0.43</v>
      </c>
      <c r="O132" s="6"/>
      <c r="P132" s="7"/>
      <c r="Q132" s="8"/>
      <c r="R132" s="8">
        <v>11</v>
      </c>
      <c r="S132" s="8"/>
      <c r="T132" s="8"/>
      <c r="U132" s="8"/>
      <c r="V132" s="7">
        <v>1</v>
      </c>
      <c r="W132" s="7">
        <v>1.06</v>
      </c>
      <c r="X132" s="7">
        <v>1.1399999999999999</v>
      </c>
      <c r="Y132" s="7">
        <v>1.06</v>
      </c>
      <c r="Z132" s="7">
        <v>1.1299999999999999</v>
      </c>
      <c r="AA132" s="7">
        <v>1.1599999999999999</v>
      </c>
      <c r="AB132" s="7">
        <v>1.24</v>
      </c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7"/>
      <c r="BY132" s="7"/>
      <c r="BZ132" s="7"/>
      <c r="CA132" s="7"/>
      <c r="CB132" s="7"/>
      <c r="CC132" s="7"/>
      <c r="CD132" s="9"/>
      <c r="CE132" s="9"/>
      <c r="CF132" s="7"/>
      <c r="CG132" s="7"/>
      <c r="CH132" s="9"/>
      <c r="CI132" s="9"/>
    </row>
    <row r="133" spans="4:87" s="5" customFormat="1">
      <c r="D133" s="6">
        <v>30</v>
      </c>
      <c r="E133" s="6">
        <v>0.27900000000000003</v>
      </c>
      <c r="F133" s="6"/>
      <c r="G133" s="12"/>
      <c r="H133" s="12">
        <v>19</v>
      </c>
      <c r="I133" s="12">
        <f>I129+4*(I134-I129)/5</f>
        <v>0.2888</v>
      </c>
      <c r="J133" s="12">
        <f>J129+4*(J134-J129)/5</f>
        <v>0.25560000000000005</v>
      </c>
      <c r="K133" s="80"/>
      <c r="L133" s="6"/>
      <c r="M133" s="12">
        <v>26</v>
      </c>
      <c r="N133" s="12">
        <f>+N132+(N137-N132)/5</f>
        <v>0.44140000000000001</v>
      </c>
      <c r="O133" s="6"/>
      <c r="P133" s="7"/>
      <c r="Q133" s="8"/>
      <c r="R133" s="5">
        <v>12</v>
      </c>
      <c r="V133" s="7">
        <v>1.04</v>
      </c>
      <c r="W133" s="7">
        <v>1.1399999999999999</v>
      </c>
      <c r="X133" s="7">
        <v>1.2</v>
      </c>
      <c r="Y133" s="7">
        <v>1.1000000000000001</v>
      </c>
      <c r="Z133" s="7">
        <v>1.33</v>
      </c>
      <c r="AA133" s="7">
        <v>1.5</v>
      </c>
      <c r="AB133" s="7">
        <v>1.8</v>
      </c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7"/>
      <c r="BY133" s="7"/>
      <c r="BZ133" s="7"/>
      <c r="CA133" s="7"/>
      <c r="CB133" s="7"/>
      <c r="CC133" s="7"/>
      <c r="CD133" s="9"/>
      <c r="CE133" s="9"/>
      <c r="CF133" s="7"/>
      <c r="CG133" s="7"/>
      <c r="CH133" s="9"/>
      <c r="CI133" s="9"/>
    </row>
    <row r="134" spans="4:87" s="5" customFormat="1">
      <c r="D134" s="6"/>
      <c r="E134" s="6"/>
      <c r="F134" s="6"/>
      <c r="G134" s="12"/>
      <c r="H134" s="12">
        <v>20</v>
      </c>
      <c r="I134" s="12">
        <v>0.30499999999999999</v>
      </c>
      <c r="J134" s="12">
        <v>0.27200000000000002</v>
      </c>
      <c r="K134" s="80"/>
      <c r="L134" s="6"/>
      <c r="M134" s="12">
        <v>27</v>
      </c>
      <c r="N134" s="12">
        <f>+N132+2*(N137-N132)/5</f>
        <v>0.45279999999999998</v>
      </c>
      <c r="O134" s="6"/>
      <c r="P134" s="7"/>
      <c r="Q134" s="8"/>
      <c r="R134" s="8">
        <v>13</v>
      </c>
      <c r="S134" s="8"/>
      <c r="T134" s="8"/>
      <c r="U134" s="8"/>
      <c r="V134" s="5">
        <v>1</v>
      </c>
      <c r="W134" s="5">
        <v>0.99</v>
      </c>
      <c r="X134" s="5">
        <v>1.05</v>
      </c>
      <c r="Y134" s="5">
        <v>1.22</v>
      </c>
      <c r="Z134" s="5">
        <v>1.35</v>
      </c>
      <c r="AA134" s="7"/>
      <c r="AB134" s="7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7"/>
      <c r="BY134" s="7"/>
      <c r="BZ134" s="7"/>
      <c r="CA134" s="7"/>
      <c r="CB134" s="7"/>
      <c r="CC134" s="7"/>
      <c r="CD134" s="9"/>
      <c r="CE134" s="9"/>
      <c r="CF134" s="7"/>
      <c r="CG134" s="7"/>
      <c r="CH134" s="9"/>
      <c r="CI134" s="9"/>
    </row>
    <row r="135" spans="4:87" s="5" customFormat="1">
      <c r="D135" s="6"/>
      <c r="E135" s="6"/>
      <c r="F135" s="6"/>
      <c r="G135" s="12"/>
      <c r="H135" s="12">
        <v>21</v>
      </c>
      <c r="I135" s="12">
        <f>I134+(I139-I134)/5</f>
        <v>0.3216</v>
      </c>
      <c r="J135" s="12">
        <f>J134+(J139-J134)/5</f>
        <v>0.2888</v>
      </c>
      <c r="K135" s="80"/>
      <c r="L135" s="6"/>
      <c r="M135" s="12">
        <v>28</v>
      </c>
      <c r="N135" s="12">
        <f>+N132+3*(N137-N132)/5</f>
        <v>0.4642</v>
      </c>
      <c r="O135" s="6"/>
      <c r="P135" s="7"/>
      <c r="Q135" s="8"/>
      <c r="R135" s="8">
        <v>14</v>
      </c>
      <c r="S135" s="8"/>
      <c r="T135" s="8"/>
      <c r="U135" s="8"/>
      <c r="V135" s="7"/>
      <c r="W135" s="7"/>
      <c r="X135" s="7"/>
      <c r="Y135" s="7"/>
      <c r="Z135" s="7"/>
      <c r="AA135" s="7"/>
      <c r="AB135" s="7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7"/>
      <c r="BY135" s="7"/>
      <c r="BZ135" s="7"/>
      <c r="CA135" s="7"/>
      <c r="CB135" s="7"/>
      <c r="CC135" s="7"/>
      <c r="CD135" s="9"/>
      <c r="CE135" s="9"/>
      <c r="CF135" s="7"/>
      <c r="CG135" s="7"/>
      <c r="CH135" s="9"/>
      <c r="CI135" s="9"/>
    </row>
    <row r="136" spans="4:87">
      <c r="D136" s="4"/>
      <c r="E136" s="4"/>
      <c r="F136" s="4"/>
      <c r="G136" s="24"/>
      <c r="H136" s="24">
        <v>22</v>
      </c>
      <c r="I136" s="24">
        <f>I134+2*(I139-I134)/5</f>
        <v>0.3382</v>
      </c>
      <c r="J136" s="24">
        <f>J134+2*(J139-J134)/5</f>
        <v>0.30559999999999998</v>
      </c>
      <c r="K136" s="78"/>
      <c r="L136" s="4"/>
      <c r="M136" s="24">
        <v>29</v>
      </c>
      <c r="N136" s="24">
        <f>+N132+4*(N137-N132)/5</f>
        <v>0.47559999999999997</v>
      </c>
      <c r="O136" s="4"/>
      <c r="P136" s="1"/>
      <c r="Q136" s="2"/>
      <c r="R136" s="2"/>
      <c r="S136" s="2"/>
      <c r="T136" s="2"/>
      <c r="U136" s="2"/>
      <c r="V136" s="1"/>
      <c r="W136" s="1"/>
      <c r="X136" s="1"/>
      <c r="Y136" s="1"/>
      <c r="Z136" s="1"/>
      <c r="AA136" s="1"/>
      <c r="AB136" s="1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1"/>
      <c r="BY136" s="1"/>
      <c r="BZ136" s="1"/>
      <c r="CA136" s="1"/>
      <c r="CB136" s="1"/>
      <c r="CC136" s="1"/>
      <c r="CD136" s="3"/>
      <c r="CE136" s="3"/>
      <c r="CF136" s="1"/>
      <c r="CG136" s="1"/>
      <c r="CH136" s="3"/>
      <c r="CI136" s="3"/>
    </row>
    <row r="137" spans="4:87">
      <c r="D137" s="4"/>
      <c r="E137" s="4"/>
      <c r="F137" s="4"/>
      <c r="G137" s="24"/>
      <c r="H137" s="24">
        <v>23</v>
      </c>
      <c r="I137" s="24">
        <f>I134+3*(I139-I134)/5</f>
        <v>0.3548</v>
      </c>
      <c r="J137" s="24">
        <f>J134+3*(J139-J134)/5</f>
        <v>0.32240000000000002</v>
      </c>
      <c r="K137" s="78">
        <v>0.28999999999999998</v>
      </c>
      <c r="L137" s="4"/>
      <c r="M137" s="24">
        <v>30</v>
      </c>
      <c r="N137" s="24">
        <v>0.48699999999999999</v>
      </c>
      <c r="O137" s="4"/>
      <c r="P137" s="1"/>
      <c r="Q137" s="2"/>
      <c r="R137" s="2"/>
      <c r="S137" s="2"/>
      <c r="T137" s="2"/>
      <c r="U137" s="2"/>
      <c r="V137" s="1"/>
      <c r="W137" s="1"/>
      <c r="X137" s="1"/>
      <c r="Y137" s="1"/>
      <c r="Z137" s="1"/>
      <c r="AA137" s="1"/>
      <c r="AB137" s="1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1"/>
      <c r="BY137" s="1"/>
      <c r="BZ137" s="1"/>
      <c r="CA137" s="1"/>
      <c r="CB137" s="1"/>
      <c r="CC137" s="1"/>
      <c r="CD137" s="3"/>
      <c r="CE137" s="3"/>
      <c r="CF137" s="1"/>
      <c r="CG137" s="1"/>
      <c r="CH137" s="3"/>
      <c r="CI137" s="3"/>
    </row>
    <row r="138" spans="4:87">
      <c r="D138" s="4"/>
      <c r="E138" s="4"/>
      <c r="F138" s="4"/>
      <c r="G138" s="24"/>
      <c r="H138" s="24">
        <v>24</v>
      </c>
      <c r="I138" s="24">
        <f>I134+4*(I139-I134)/5</f>
        <v>0.37140000000000001</v>
      </c>
      <c r="J138" s="24">
        <f>J134+4*(J139-J134)/5</f>
        <v>0.3392</v>
      </c>
      <c r="K138" s="78">
        <v>0.31</v>
      </c>
      <c r="L138" s="4"/>
      <c r="M138" s="24">
        <v>31</v>
      </c>
      <c r="N138" s="24">
        <f>+N137+(N142-N137)/5</f>
        <v>0.498</v>
      </c>
      <c r="O138" s="4"/>
      <c r="P138" s="1"/>
      <c r="Q138" s="2"/>
      <c r="R138" s="2"/>
      <c r="S138" s="2"/>
      <c r="T138" s="2"/>
      <c r="U138" s="2"/>
      <c r="V138" s="1"/>
      <c r="W138" s="1"/>
      <c r="X138" s="1"/>
      <c r="Y138" s="1"/>
      <c r="Z138" s="1"/>
      <c r="AA138" s="1"/>
      <c r="AB138" s="1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1"/>
      <c r="BY138" s="1"/>
      <c r="BZ138" s="1"/>
      <c r="CA138" s="1"/>
      <c r="CB138" s="1"/>
      <c r="CC138" s="1"/>
      <c r="CD138" s="3"/>
      <c r="CE138" s="3"/>
      <c r="CF138" s="1"/>
      <c r="CG138" s="1"/>
      <c r="CH138" s="3"/>
      <c r="CI138" s="3"/>
    </row>
    <row r="139" spans="4:87">
      <c r="D139" s="4"/>
      <c r="E139" s="4"/>
      <c r="F139" s="4"/>
      <c r="G139" s="24"/>
      <c r="H139" s="24">
        <v>25</v>
      </c>
      <c r="I139" s="24">
        <v>0.38800000000000001</v>
      </c>
      <c r="J139" s="24">
        <v>0.35599999999999998</v>
      </c>
      <c r="K139" s="78">
        <v>0.32500000000000001</v>
      </c>
      <c r="L139" s="4"/>
      <c r="M139" s="24">
        <v>32</v>
      </c>
      <c r="N139" s="24">
        <f>+N137+2*(N142-N137)/5</f>
        <v>0.50900000000000001</v>
      </c>
      <c r="O139" s="4"/>
      <c r="P139" s="1"/>
      <c r="Q139" s="2"/>
      <c r="R139" s="2"/>
      <c r="S139" s="2"/>
      <c r="T139" s="2"/>
      <c r="U139" s="2"/>
      <c r="V139" s="1"/>
      <c r="W139" s="1"/>
      <c r="X139" s="1"/>
      <c r="Y139" s="1"/>
      <c r="Z139" s="1"/>
      <c r="AA139" s="1"/>
      <c r="AB139" s="1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1"/>
      <c r="BY139" s="1"/>
      <c r="BZ139" s="1"/>
      <c r="CA139" s="1"/>
      <c r="CB139" s="1"/>
      <c r="CC139" s="1"/>
      <c r="CD139" s="3"/>
      <c r="CE139" s="3"/>
      <c r="CF139" s="1"/>
      <c r="CG139" s="1"/>
      <c r="CH139" s="3"/>
      <c r="CI139" s="3"/>
    </row>
    <row r="140" spans="4:87">
      <c r="D140" s="4"/>
      <c r="E140" s="4"/>
      <c r="F140" s="4"/>
      <c r="G140" s="24"/>
      <c r="H140" s="24">
        <v>26</v>
      </c>
      <c r="I140" s="24">
        <f>I139+(I144-I139)/5</f>
        <v>0.4052</v>
      </c>
      <c r="J140" s="24">
        <f>J139+(J144-J139)/5</f>
        <v>0.37319999999999998</v>
      </c>
      <c r="K140" s="78">
        <f>K139+(K144-K139)/5</f>
        <v>0.3422</v>
      </c>
      <c r="L140" s="4"/>
      <c r="M140" s="24">
        <v>33</v>
      </c>
      <c r="N140" s="24">
        <f>+N137+3*(N142-N137)/5</f>
        <v>0.52</v>
      </c>
      <c r="O140" s="4"/>
      <c r="P140" s="1"/>
      <c r="Q140" s="2"/>
      <c r="R140" s="2"/>
      <c r="S140" s="2"/>
      <c r="T140" s="2"/>
      <c r="U140" s="2"/>
      <c r="V140" s="1"/>
      <c r="W140" s="1"/>
      <c r="X140" s="1"/>
      <c r="Y140" s="1"/>
      <c r="Z140" s="1"/>
      <c r="AA140" s="1"/>
      <c r="AB140" s="1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1"/>
      <c r="BY140" s="1"/>
      <c r="BZ140" s="1"/>
      <c r="CA140" s="1"/>
      <c r="CB140" s="1"/>
      <c r="CC140" s="1"/>
      <c r="CD140" s="3"/>
      <c r="CE140" s="3"/>
      <c r="CF140" s="1"/>
      <c r="CG140" s="1"/>
      <c r="CH140" s="3"/>
      <c r="CI140" s="3"/>
    </row>
    <row r="141" spans="4:87">
      <c r="D141" s="4"/>
      <c r="E141" s="4"/>
      <c r="F141" s="4"/>
      <c r="G141" s="4"/>
      <c r="H141" s="24">
        <v>27</v>
      </c>
      <c r="I141" s="24">
        <f>I139+2*(I144-I139)/5</f>
        <v>0.4224</v>
      </c>
      <c r="J141" s="24">
        <f>J139+2*(J144-J139)/5</f>
        <v>0.39039999999999997</v>
      </c>
      <c r="K141" s="78">
        <f>K139+2*(K144-K139)/5</f>
        <v>0.3594</v>
      </c>
      <c r="L141" s="4"/>
      <c r="M141" s="24">
        <v>34</v>
      </c>
      <c r="N141" s="24">
        <f>+N137+4*(N142-N137)/5</f>
        <v>0.53100000000000003</v>
      </c>
      <c r="O141" s="4"/>
      <c r="P141" s="1"/>
      <c r="Q141" s="2"/>
      <c r="R141" s="2"/>
      <c r="S141" s="2"/>
      <c r="T141" s="2"/>
      <c r="U141" s="2"/>
      <c r="V141" s="1"/>
      <c r="W141" s="1"/>
      <c r="X141" s="1"/>
      <c r="Y141" s="1"/>
      <c r="Z141" s="1"/>
      <c r="AA141" s="1"/>
      <c r="AB141" s="1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1"/>
      <c r="BY141" s="1"/>
      <c r="BZ141" s="1"/>
      <c r="CA141" s="1"/>
      <c r="CB141" s="1"/>
      <c r="CC141" s="1"/>
      <c r="CD141" s="3"/>
      <c r="CE141" s="3"/>
      <c r="CF141" s="1"/>
      <c r="CG141" s="1"/>
      <c r="CH141" s="3"/>
      <c r="CI141" s="3"/>
    </row>
    <row r="142" spans="4:87">
      <c r="D142" s="4"/>
      <c r="E142" s="4"/>
      <c r="F142" s="4"/>
      <c r="G142" s="4"/>
      <c r="H142" s="24">
        <v>28</v>
      </c>
      <c r="I142" s="24">
        <f>I139+3*(I144-I139)/5</f>
        <v>0.43959999999999999</v>
      </c>
      <c r="J142" s="24">
        <f>J139+3*(J144-J139)/5</f>
        <v>0.40760000000000002</v>
      </c>
      <c r="K142" s="78">
        <f>K139+3*(K144-K139)/5</f>
        <v>0.37659999999999999</v>
      </c>
      <c r="L142" s="4"/>
      <c r="M142" s="24">
        <v>35</v>
      </c>
      <c r="N142" s="24">
        <v>0.54200000000000004</v>
      </c>
      <c r="O142" s="4"/>
      <c r="P142" s="1"/>
      <c r="Q142" s="2"/>
      <c r="R142" s="2"/>
      <c r="S142" s="2"/>
      <c r="T142" s="2"/>
      <c r="U142" s="2"/>
      <c r="V142" s="1"/>
      <c r="W142" s="1"/>
      <c r="X142" s="1"/>
      <c r="Y142" s="1"/>
      <c r="Z142" s="1"/>
      <c r="AA142" s="1"/>
      <c r="AB142" s="1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1"/>
      <c r="BY142" s="1"/>
      <c r="BZ142" s="1"/>
      <c r="CA142" s="1"/>
      <c r="CB142" s="1"/>
      <c r="CC142" s="1"/>
      <c r="CD142" s="3"/>
      <c r="CE142" s="3"/>
      <c r="CF142" s="1"/>
      <c r="CG142" s="1"/>
      <c r="CH142" s="3"/>
      <c r="CI142" s="3"/>
    </row>
    <row r="143" spans="4:87">
      <c r="D143" s="4"/>
      <c r="E143" s="4"/>
      <c r="F143" s="4"/>
      <c r="G143" s="4"/>
      <c r="H143" s="24">
        <v>29</v>
      </c>
      <c r="I143" s="24">
        <f>I139+4*(I144-I139)/5</f>
        <v>0.45679999999999998</v>
      </c>
      <c r="J143" s="24">
        <f>J139+4*(J144-J139)/5</f>
        <v>0.42480000000000001</v>
      </c>
      <c r="K143" s="78">
        <f>K139+4*(K144-K139)/5</f>
        <v>0.39379999999999998</v>
      </c>
      <c r="L143" s="4"/>
      <c r="M143" s="24">
        <v>36</v>
      </c>
      <c r="N143" s="24">
        <f>+N142+(N147-N142)/5</f>
        <v>0.55200000000000005</v>
      </c>
      <c r="O143" s="4"/>
      <c r="P143" s="1"/>
      <c r="Q143" s="2"/>
      <c r="R143" s="2"/>
      <c r="S143" s="2"/>
      <c r="T143" s="2"/>
      <c r="U143" s="2"/>
      <c r="V143" s="1"/>
      <c r="W143" s="1"/>
      <c r="X143" s="1"/>
      <c r="Y143" s="1"/>
      <c r="Z143" s="1"/>
      <c r="AA143" s="1"/>
      <c r="AB143" s="1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1"/>
      <c r="BY143" s="1"/>
      <c r="BZ143" s="1"/>
      <c r="CA143" s="1"/>
      <c r="CB143" s="1"/>
      <c r="CC143" s="1"/>
      <c r="CD143" s="3"/>
      <c r="CE143" s="3"/>
      <c r="CF143" s="1"/>
      <c r="CG143" s="1"/>
      <c r="CH143" s="3"/>
      <c r="CI143" s="3"/>
    </row>
    <row r="144" spans="4:87">
      <c r="D144" s="4"/>
      <c r="E144" s="4"/>
      <c r="F144" s="4"/>
      <c r="G144" s="4"/>
      <c r="H144" s="24">
        <v>30</v>
      </c>
      <c r="I144" s="55">
        <v>0.47399999999999998</v>
      </c>
      <c r="J144" s="55">
        <v>0.442</v>
      </c>
      <c r="K144" s="83">
        <v>0.41099999999999998</v>
      </c>
      <c r="L144" s="4"/>
      <c r="M144" s="24">
        <v>37</v>
      </c>
      <c r="N144" s="24">
        <f>+N142+2*(N147-N142)/5</f>
        <v>0.56200000000000006</v>
      </c>
      <c r="O144" s="4"/>
      <c r="P144" s="1"/>
      <c r="Q144" s="2"/>
      <c r="R144" s="2"/>
      <c r="S144" s="2"/>
      <c r="T144" s="2"/>
      <c r="U144" s="2"/>
      <c r="V144" s="1"/>
      <c r="W144" s="1"/>
      <c r="X144" s="1"/>
      <c r="Y144" s="1"/>
      <c r="Z144" s="1"/>
      <c r="AA144" s="1"/>
      <c r="AB144" s="1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1"/>
      <c r="BY144" s="1"/>
      <c r="BZ144" s="1"/>
      <c r="CA144" s="1"/>
      <c r="CB144" s="1"/>
      <c r="CC144" s="1"/>
      <c r="CD144" s="3"/>
      <c r="CE144" s="3"/>
      <c r="CF144" s="1"/>
      <c r="CG144" s="1"/>
      <c r="CH144" s="3"/>
      <c r="CI144" s="3"/>
    </row>
    <row r="145" spans="4:87">
      <c r="D145" s="4"/>
      <c r="E145" s="4"/>
      <c r="F145" s="4"/>
      <c r="G145" s="4"/>
      <c r="H145" s="24">
        <v>31</v>
      </c>
      <c r="I145" s="24">
        <f>I144+(I149-I144)/5</f>
        <v>0.4914</v>
      </c>
      <c r="J145" s="24">
        <f>J144+(J149-J144)/5</f>
        <v>0.45960000000000001</v>
      </c>
      <c r="K145" s="78">
        <f>K144+(K149-K144)/5</f>
        <v>0.42879999999999996</v>
      </c>
      <c r="L145" s="4"/>
      <c r="M145" s="24">
        <v>38</v>
      </c>
      <c r="N145" s="24">
        <f>+N142+3*(N147-N142)/5</f>
        <v>0.57199999999999995</v>
      </c>
      <c r="O145" s="4"/>
      <c r="P145" s="1"/>
      <c r="Q145" s="2"/>
      <c r="R145" s="2"/>
      <c r="S145" s="2"/>
      <c r="T145" s="2"/>
      <c r="U145" s="2"/>
      <c r="V145" s="1"/>
      <c r="W145" s="1"/>
      <c r="X145" s="1"/>
      <c r="Y145" s="1"/>
      <c r="Z145" s="1"/>
      <c r="AA145" s="1"/>
      <c r="AB145" s="1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1"/>
      <c r="BY145" s="1"/>
      <c r="BZ145" s="1"/>
      <c r="CA145" s="1"/>
      <c r="CB145" s="1"/>
      <c r="CC145" s="1"/>
      <c r="CD145" s="3"/>
      <c r="CE145" s="3"/>
      <c r="CF145" s="1"/>
      <c r="CG145" s="1"/>
      <c r="CH145" s="3"/>
      <c r="CI145" s="3"/>
    </row>
    <row r="146" spans="4:87">
      <c r="D146" s="4"/>
      <c r="E146" s="4"/>
      <c r="F146" s="4"/>
      <c r="G146" s="4"/>
      <c r="H146" s="24">
        <v>32</v>
      </c>
      <c r="I146" s="24">
        <f>I144+2*(I149-I144)/5</f>
        <v>0.50880000000000003</v>
      </c>
      <c r="J146" s="24">
        <f>J144+2*(J149-J144)/5</f>
        <v>0.47720000000000001</v>
      </c>
      <c r="K146" s="78">
        <f>K144+2*(K149-K144)/5</f>
        <v>0.4466</v>
      </c>
      <c r="L146" s="4"/>
      <c r="M146" s="24">
        <v>39</v>
      </c>
      <c r="N146" s="24">
        <f>+N142+4*(N147-N142)/5</f>
        <v>0.58199999999999996</v>
      </c>
      <c r="O146" s="4"/>
      <c r="P146" s="1"/>
      <c r="Q146" s="2"/>
      <c r="R146" s="2"/>
      <c r="S146" s="2"/>
      <c r="T146" s="2"/>
      <c r="U146" s="2"/>
      <c r="V146" s="1"/>
      <c r="W146" s="1"/>
      <c r="X146" s="1"/>
      <c r="Y146" s="1"/>
      <c r="Z146" s="1"/>
      <c r="AA146" s="1"/>
      <c r="AB146" s="1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1"/>
      <c r="BY146" s="1"/>
      <c r="BZ146" s="1"/>
      <c r="CA146" s="1"/>
      <c r="CB146" s="1"/>
      <c r="CC146" s="1"/>
      <c r="CD146" s="3"/>
      <c r="CE146" s="3"/>
      <c r="CF146" s="1"/>
      <c r="CG146" s="1"/>
      <c r="CH146" s="3"/>
      <c r="CI146" s="3"/>
    </row>
    <row r="147" spans="4:87">
      <c r="D147" s="4"/>
      <c r="E147" s="4"/>
      <c r="F147" s="4"/>
      <c r="G147" s="4"/>
      <c r="H147" s="24">
        <v>33</v>
      </c>
      <c r="I147" s="24">
        <f>I144+3*(I149-I144)/5</f>
        <v>0.5262</v>
      </c>
      <c r="J147" s="24">
        <f>J144+3*(J149-J144)/5</f>
        <v>0.49480000000000002</v>
      </c>
      <c r="K147" s="78">
        <f>K144+3*(K149-K144)/5</f>
        <v>0.46439999999999998</v>
      </c>
      <c r="L147" s="4"/>
      <c r="M147" s="24">
        <v>40</v>
      </c>
      <c r="N147" s="24">
        <v>0.59199999999999997</v>
      </c>
      <c r="O147" s="4"/>
      <c r="P147" s="1"/>
      <c r="Q147" s="2"/>
      <c r="R147" s="2"/>
      <c r="S147" s="2"/>
      <c r="T147" s="2"/>
      <c r="U147" s="2"/>
      <c r="V147" s="1"/>
      <c r="W147" s="1"/>
      <c r="X147" s="1"/>
      <c r="Y147" s="1"/>
      <c r="Z147" s="1"/>
      <c r="AA147" s="1"/>
      <c r="AB147" s="1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1"/>
      <c r="BY147" s="1"/>
      <c r="BZ147" s="1"/>
      <c r="CA147" s="1"/>
      <c r="CB147" s="1"/>
      <c r="CC147" s="1"/>
      <c r="CD147" s="3"/>
      <c r="CE147" s="3"/>
      <c r="CF147" s="1"/>
      <c r="CG147" s="1"/>
      <c r="CH147" s="3"/>
      <c r="CI147" s="3"/>
    </row>
    <row r="148" spans="4:87">
      <c r="D148" s="4"/>
      <c r="E148" s="4"/>
      <c r="F148" s="4"/>
      <c r="G148" s="4"/>
      <c r="H148" s="24">
        <v>34</v>
      </c>
      <c r="I148" s="24">
        <f>I144+4*(I149-I144)/5</f>
        <v>0.54360000000000008</v>
      </c>
      <c r="J148" s="24">
        <f>J144+4*(J149-J144)/5</f>
        <v>0.51239999999999997</v>
      </c>
      <c r="K148" s="78">
        <f>K144+4*(K149-K144)/5</f>
        <v>0.48219999999999996</v>
      </c>
      <c r="L148" s="4"/>
      <c r="M148" s="24">
        <v>41</v>
      </c>
      <c r="N148" s="24">
        <f>+N147+(N152-N147)/5</f>
        <v>0.60199999999999998</v>
      </c>
      <c r="O148" s="4"/>
      <c r="P148" s="1"/>
      <c r="Q148" s="2"/>
      <c r="R148" s="2"/>
      <c r="S148" s="2"/>
      <c r="T148" s="2"/>
      <c r="U148" s="2"/>
      <c r="V148" s="1"/>
      <c r="W148" s="1"/>
      <c r="X148" s="1"/>
      <c r="Y148" s="1"/>
      <c r="Z148" s="1"/>
      <c r="AA148" s="1"/>
      <c r="AB148" s="1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1"/>
      <c r="BY148" s="1"/>
      <c r="BZ148" s="1"/>
      <c r="CA148" s="1"/>
      <c r="CB148" s="1"/>
      <c r="CC148" s="1"/>
      <c r="CD148" s="3"/>
      <c r="CE148" s="3"/>
      <c r="CF148" s="1"/>
      <c r="CG148" s="1"/>
      <c r="CH148" s="3"/>
      <c r="CI148" s="3"/>
    </row>
    <row r="149" spans="4:87">
      <c r="D149" s="4"/>
      <c r="E149" s="4"/>
      <c r="F149" s="4"/>
      <c r="G149" s="4"/>
      <c r="H149" s="54">
        <v>35</v>
      </c>
      <c r="I149" s="54">
        <v>0.56100000000000005</v>
      </c>
      <c r="J149" s="54">
        <v>0.53</v>
      </c>
      <c r="K149" s="84">
        <v>0.5</v>
      </c>
      <c r="L149" s="4"/>
      <c r="M149" s="24">
        <v>42</v>
      </c>
      <c r="N149" s="24">
        <f>+N147+2*(N152-N147)/5</f>
        <v>0.61199999999999999</v>
      </c>
      <c r="O149" s="4"/>
      <c r="P149" s="1"/>
      <c r="Q149" s="2"/>
      <c r="R149" s="2"/>
      <c r="S149" s="2"/>
      <c r="T149" s="2"/>
      <c r="U149" s="2"/>
      <c r="V149" s="1"/>
      <c r="W149" s="1"/>
      <c r="X149" s="1"/>
      <c r="Y149" s="1"/>
      <c r="Z149" s="1"/>
      <c r="AA149" s="1"/>
      <c r="AB149" s="1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1"/>
      <c r="BY149" s="1"/>
      <c r="BZ149" s="1"/>
      <c r="CA149" s="1"/>
      <c r="CB149" s="1"/>
      <c r="CC149" s="1"/>
      <c r="CD149" s="3"/>
      <c r="CE149" s="3"/>
      <c r="CF149" s="1"/>
      <c r="CG149" s="1"/>
      <c r="CH149" s="3"/>
      <c r="CI149" s="3"/>
    </row>
    <row r="150" spans="4:87">
      <c r="D150" s="4"/>
      <c r="E150" s="4"/>
      <c r="F150" s="4"/>
      <c r="G150" s="4"/>
      <c r="H150" s="24">
        <v>36</v>
      </c>
      <c r="I150" s="24">
        <f>I149+(I154-I149)/5</f>
        <v>0.57900000000000007</v>
      </c>
      <c r="J150" s="24">
        <f>J149+(J154-J149)/5</f>
        <v>0.54800000000000004</v>
      </c>
      <c r="K150" s="78">
        <f>K149+(K154-K149)/5</f>
        <v>0.51800000000000002</v>
      </c>
      <c r="L150" s="4"/>
      <c r="M150" s="24">
        <v>43</v>
      </c>
      <c r="N150" s="24">
        <f>+N147+3*(N152-N147)/5</f>
        <v>0.622</v>
      </c>
      <c r="O150" s="4"/>
      <c r="P150" s="1"/>
      <c r="Q150" s="2"/>
      <c r="R150" s="2"/>
      <c r="S150" s="2"/>
      <c r="T150" s="2"/>
      <c r="U150" s="2"/>
      <c r="V150" s="1"/>
      <c r="W150" s="1"/>
      <c r="X150" s="1"/>
      <c r="Y150" s="1"/>
      <c r="Z150" s="1"/>
      <c r="AA150" s="1"/>
      <c r="AB150" s="1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1"/>
      <c r="BY150" s="1"/>
      <c r="BZ150" s="1"/>
      <c r="CA150" s="1"/>
      <c r="CB150" s="1"/>
      <c r="CC150" s="1"/>
      <c r="CD150" s="3"/>
      <c r="CE150" s="3"/>
      <c r="CF150" s="1"/>
      <c r="CG150" s="1"/>
      <c r="CH150" s="3"/>
      <c r="CI150" s="3"/>
    </row>
    <row r="151" spans="4:87">
      <c r="D151" s="4"/>
      <c r="E151" s="4"/>
      <c r="F151" s="4"/>
      <c r="G151" s="4"/>
      <c r="H151" s="24">
        <v>37</v>
      </c>
      <c r="I151" s="24">
        <f>I149+2*(I154-I149)/5</f>
        <v>0.59700000000000009</v>
      </c>
      <c r="J151" s="24">
        <f>J149+2*(J154-J149)/5</f>
        <v>0.56600000000000006</v>
      </c>
      <c r="K151" s="78">
        <f>K149+2*(K154-K149)/5</f>
        <v>0.53600000000000003</v>
      </c>
      <c r="L151" s="4"/>
      <c r="M151" s="24">
        <v>44</v>
      </c>
      <c r="N151" s="24">
        <f>+N147+4*(N152-N147)/5</f>
        <v>0.63200000000000001</v>
      </c>
      <c r="O151" s="4"/>
      <c r="P151" s="1"/>
      <c r="Q151" s="2"/>
      <c r="R151" s="2"/>
      <c r="S151" s="2"/>
      <c r="T151" s="2"/>
      <c r="U151" s="2"/>
      <c r="V151" s="1"/>
      <c r="W151" s="1"/>
      <c r="X151" s="1"/>
      <c r="Y151" s="1"/>
      <c r="Z151" s="1"/>
      <c r="AA151" s="1"/>
      <c r="AB151" s="1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1"/>
      <c r="BY151" s="1"/>
      <c r="BZ151" s="1"/>
      <c r="CA151" s="1"/>
      <c r="CB151" s="1"/>
      <c r="CC151" s="1"/>
      <c r="CD151" s="3"/>
      <c r="CE151" s="3"/>
      <c r="CF151" s="1"/>
      <c r="CG151" s="1"/>
      <c r="CH151" s="3"/>
      <c r="CI151" s="3"/>
    </row>
    <row r="152" spans="4:87">
      <c r="D152" s="4"/>
      <c r="E152" s="4"/>
      <c r="F152" s="4"/>
      <c r="G152" s="4"/>
      <c r="H152" s="24">
        <v>38</v>
      </c>
      <c r="I152" s="24">
        <f>I149+3*(I154-I149)/5</f>
        <v>0.61499999999999999</v>
      </c>
      <c r="J152" s="24">
        <f>J149+3*(J154-J149)/5</f>
        <v>0.58399999999999996</v>
      </c>
      <c r="K152" s="78">
        <f>K149+3*(K154-K149)/5</f>
        <v>0.55399999999999994</v>
      </c>
      <c r="L152" s="4"/>
      <c r="M152" s="24">
        <v>45</v>
      </c>
      <c r="N152" s="24">
        <v>0.64200000000000002</v>
      </c>
      <c r="O152" s="4"/>
      <c r="P152" s="1"/>
      <c r="Q152" s="2"/>
      <c r="R152" s="2"/>
      <c r="S152" s="2"/>
      <c r="T152" s="2"/>
      <c r="U152" s="2"/>
      <c r="V152" s="1"/>
      <c r="W152" s="1"/>
      <c r="X152" s="1"/>
      <c r="Y152" s="1"/>
      <c r="Z152" s="1"/>
      <c r="AA152" s="1"/>
      <c r="AB152" s="1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1"/>
      <c r="BY152" s="1"/>
      <c r="BZ152" s="1"/>
      <c r="CA152" s="1"/>
      <c r="CB152" s="1"/>
      <c r="CC152" s="1"/>
      <c r="CD152" s="3"/>
      <c r="CE152" s="3"/>
      <c r="CF152" s="1"/>
      <c r="CG152" s="1"/>
      <c r="CH152" s="3"/>
      <c r="CI152" s="3"/>
    </row>
    <row r="153" spans="4:87">
      <c r="D153" s="4"/>
      <c r="E153" s="4"/>
      <c r="F153" s="4"/>
      <c r="G153" s="4"/>
      <c r="H153" s="24">
        <v>39</v>
      </c>
      <c r="I153" s="24">
        <f>I149+4*(I154-I149)/5</f>
        <v>0.63300000000000001</v>
      </c>
      <c r="J153" s="24">
        <f>J149+4*(J154-J149)/5</f>
        <v>0.60199999999999998</v>
      </c>
      <c r="K153" s="78">
        <f>K149+4*(K154-K149)/5</f>
        <v>0.57199999999999995</v>
      </c>
      <c r="L153" s="4"/>
      <c r="M153" s="24">
        <v>46</v>
      </c>
      <c r="N153" s="24">
        <f>+N152+(N157-N152)/5</f>
        <v>0.6502</v>
      </c>
      <c r="O153" s="4"/>
      <c r="P153" s="1"/>
      <c r="Q153" s="2"/>
      <c r="R153" s="2"/>
      <c r="S153" s="2"/>
      <c r="T153" s="2"/>
      <c r="U153" s="2"/>
      <c r="V153" s="1"/>
      <c r="W153" s="1"/>
      <c r="X153" s="1"/>
      <c r="Y153" s="1"/>
      <c r="Z153" s="1"/>
      <c r="AA153" s="1"/>
      <c r="AB153" s="1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1"/>
      <c r="BY153" s="1"/>
      <c r="BZ153" s="1"/>
      <c r="CA153" s="1"/>
      <c r="CB153" s="1"/>
      <c r="CC153" s="1"/>
      <c r="CD153" s="3"/>
      <c r="CE153" s="3"/>
      <c r="CF153" s="1"/>
      <c r="CG153" s="1"/>
      <c r="CH153" s="3"/>
      <c r="CI153" s="3"/>
    </row>
    <row r="154" spans="4:87">
      <c r="D154" s="4"/>
      <c r="E154" s="4"/>
      <c r="F154" s="4"/>
      <c r="G154" s="4"/>
      <c r="H154" s="24">
        <v>40</v>
      </c>
      <c r="I154" s="24">
        <v>0.65100000000000002</v>
      </c>
      <c r="J154" s="24">
        <v>0.62</v>
      </c>
      <c r="K154" s="78">
        <v>0.59</v>
      </c>
      <c r="L154" s="4"/>
      <c r="M154" s="24">
        <v>47</v>
      </c>
      <c r="N154" s="24">
        <f>+N152+2*(N157-N152)/5</f>
        <v>0.65839999999999999</v>
      </c>
      <c r="O154" s="4"/>
      <c r="P154" s="1"/>
      <c r="Q154" s="2"/>
      <c r="R154" s="2"/>
      <c r="S154" s="2"/>
      <c r="T154" s="2"/>
      <c r="U154" s="2"/>
      <c r="V154" s="1"/>
      <c r="W154" s="1"/>
      <c r="X154" s="1"/>
      <c r="Y154" s="1"/>
      <c r="Z154" s="1"/>
      <c r="AA154" s="1"/>
      <c r="AB154" s="1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1"/>
      <c r="BY154" s="1"/>
      <c r="BZ154" s="1"/>
      <c r="CA154" s="1"/>
      <c r="CB154" s="1"/>
      <c r="CC154" s="1"/>
      <c r="CD154" s="3"/>
      <c r="CE154" s="3"/>
      <c r="CF154" s="1"/>
      <c r="CG154" s="1"/>
      <c r="CH154" s="3"/>
      <c r="CI154" s="3"/>
    </row>
    <row r="155" spans="4:87">
      <c r="D155" s="4"/>
      <c r="E155" s="4"/>
      <c r="F155" s="4"/>
      <c r="G155" s="4"/>
      <c r="H155" s="24">
        <v>41</v>
      </c>
      <c r="I155" s="24">
        <f>I154+(I159-I154)/5</f>
        <v>0.6694</v>
      </c>
      <c r="J155" s="24">
        <f>J154+(J159-J154)/5</f>
        <v>0.63600000000000001</v>
      </c>
      <c r="K155" s="78">
        <f>K154+(K159-K154)/5</f>
        <v>0.60839999999999994</v>
      </c>
      <c r="L155" s="4"/>
      <c r="M155" s="24">
        <v>48</v>
      </c>
      <c r="N155" s="24">
        <f>+N152+3*(N157-N152)/5</f>
        <v>0.66660000000000008</v>
      </c>
      <c r="O155" s="4"/>
      <c r="P155" s="1"/>
      <c r="Q155" s="2"/>
      <c r="R155" s="2"/>
      <c r="S155" s="2"/>
      <c r="T155" s="2"/>
      <c r="U155" s="2"/>
      <c r="V155" s="1"/>
      <c r="W155" s="1"/>
      <c r="X155" s="1"/>
      <c r="Y155" s="1"/>
      <c r="Z155" s="1"/>
      <c r="AA155" s="1"/>
      <c r="AB155" s="1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1"/>
      <c r="BY155" s="1"/>
      <c r="BZ155" s="1"/>
      <c r="CA155" s="1"/>
      <c r="CB155" s="1"/>
      <c r="CC155" s="1"/>
      <c r="CD155" s="3"/>
      <c r="CE155" s="3"/>
      <c r="CF155" s="1"/>
      <c r="CG155" s="1"/>
      <c r="CH155" s="3"/>
      <c r="CI155" s="3"/>
    </row>
    <row r="156" spans="4:87">
      <c r="D156" s="4"/>
      <c r="E156" s="4"/>
      <c r="F156" s="4"/>
      <c r="G156" s="4"/>
      <c r="H156" s="24">
        <v>42</v>
      </c>
      <c r="I156" s="24">
        <f>I154+2*(I159-I154)/5</f>
        <v>0.68779999999999997</v>
      </c>
      <c r="J156" s="24">
        <f>J154+2*(J159-J154)/5</f>
        <v>0.65200000000000002</v>
      </c>
      <c r="K156" s="78">
        <f>K154+2*(K159-K154)/5</f>
        <v>0.62680000000000002</v>
      </c>
      <c r="L156" s="4"/>
      <c r="M156" s="24">
        <v>49</v>
      </c>
      <c r="N156" s="24">
        <f>+N152+4*(N157-N152)/5</f>
        <v>0.67480000000000007</v>
      </c>
      <c r="O156" s="4"/>
      <c r="P156" s="1"/>
      <c r="Q156" s="2"/>
      <c r="R156" s="2"/>
      <c r="S156" s="2"/>
      <c r="T156" s="2"/>
      <c r="U156" s="2"/>
      <c r="V156" s="1"/>
      <c r="W156" s="1"/>
      <c r="X156" s="1"/>
      <c r="Y156" s="1"/>
      <c r="Z156" s="1"/>
      <c r="AA156" s="1"/>
      <c r="AB156" s="1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1"/>
      <c r="BY156" s="1"/>
      <c r="BZ156" s="1"/>
      <c r="CA156" s="1"/>
      <c r="CB156" s="1"/>
      <c r="CC156" s="1"/>
      <c r="CD156" s="3"/>
      <c r="CE156" s="3"/>
      <c r="CF156" s="1"/>
      <c r="CG156" s="1"/>
      <c r="CH156" s="3"/>
      <c r="CI156" s="3"/>
    </row>
    <row r="157" spans="4:87">
      <c r="D157" s="4"/>
      <c r="E157" s="4"/>
      <c r="F157" s="4"/>
      <c r="G157" s="4"/>
      <c r="H157" s="24">
        <v>43</v>
      </c>
      <c r="I157" s="24">
        <f>I154+3*(I159-I154)/5</f>
        <v>0.70620000000000005</v>
      </c>
      <c r="J157" s="24">
        <f>J154+3*(J159-J154)/5</f>
        <v>0.66799999999999993</v>
      </c>
      <c r="K157" s="78">
        <f>K154+3*(K159-K154)/5</f>
        <v>0.6452</v>
      </c>
      <c r="L157" s="4"/>
      <c r="M157" s="24">
        <v>50</v>
      </c>
      <c r="N157" s="24">
        <v>0.68300000000000005</v>
      </c>
      <c r="O157" s="4"/>
      <c r="P157" s="1"/>
      <c r="Q157" s="2"/>
      <c r="R157" s="2"/>
      <c r="S157" s="2"/>
      <c r="T157" s="2"/>
      <c r="U157" s="2"/>
      <c r="V157" s="1"/>
      <c r="W157" s="1"/>
      <c r="X157" s="1"/>
      <c r="Y157" s="1"/>
      <c r="Z157" s="1"/>
      <c r="AA157" s="1"/>
      <c r="AB157" s="1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1"/>
      <c r="BY157" s="1"/>
      <c r="BZ157" s="1"/>
      <c r="CA157" s="1"/>
      <c r="CB157" s="1"/>
      <c r="CC157" s="1"/>
      <c r="CD157" s="3"/>
      <c r="CE157" s="3"/>
      <c r="CF157" s="1"/>
      <c r="CG157" s="1"/>
      <c r="CH157" s="3"/>
      <c r="CI157" s="3"/>
    </row>
    <row r="158" spans="4:87">
      <c r="D158" s="4"/>
      <c r="E158" s="4"/>
      <c r="F158" s="4"/>
      <c r="G158" s="4"/>
      <c r="H158" s="24">
        <v>44</v>
      </c>
      <c r="I158" s="24">
        <f>I154+4*(I159-I154)/5</f>
        <v>0.72460000000000002</v>
      </c>
      <c r="J158" s="24">
        <f>J154+4*(J159-J154)/5</f>
        <v>0.68399999999999994</v>
      </c>
      <c r="K158" s="78">
        <f>K154+4*(K159-K154)/5</f>
        <v>0.66360000000000008</v>
      </c>
      <c r="L158" s="4"/>
      <c r="M158" s="24">
        <v>51</v>
      </c>
      <c r="N158" s="24">
        <f>+N157+(N162-N157)/5</f>
        <v>0.69040000000000001</v>
      </c>
      <c r="O158" s="4"/>
      <c r="P158" s="1"/>
      <c r="Q158" s="2"/>
      <c r="R158" s="2"/>
      <c r="S158" s="2"/>
      <c r="T158" s="2"/>
      <c r="U158" s="2"/>
      <c r="V158" s="1"/>
      <c r="W158" s="1"/>
      <c r="X158" s="1"/>
      <c r="Y158" s="1"/>
      <c r="Z158" s="1"/>
      <c r="AA158" s="1"/>
      <c r="AB158" s="1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1"/>
      <c r="BY158" s="1"/>
      <c r="BZ158" s="1"/>
      <c r="CA158" s="1"/>
      <c r="CB158" s="1"/>
      <c r="CC158" s="1"/>
      <c r="CD158" s="3"/>
      <c r="CE158" s="3"/>
      <c r="CF158" s="1"/>
      <c r="CG158" s="1"/>
      <c r="CH158" s="3"/>
      <c r="CI158" s="3"/>
    </row>
    <row r="159" spans="4:87">
      <c r="D159" s="4"/>
      <c r="E159" s="4"/>
      <c r="F159" s="4"/>
      <c r="G159" s="4"/>
      <c r="H159" s="24">
        <v>45</v>
      </c>
      <c r="I159" s="24">
        <v>0.74299999999999999</v>
      </c>
      <c r="J159" s="24">
        <v>0.7</v>
      </c>
      <c r="K159" s="78">
        <v>0.68200000000000005</v>
      </c>
      <c r="L159" s="4"/>
      <c r="M159" s="24">
        <v>52</v>
      </c>
      <c r="N159" s="24">
        <f>+N157+2*(N162-N157)/5</f>
        <v>0.69779999999999998</v>
      </c>
      <c r="O159" s="4"/>
      <c r="P159" s="1"/>
      <c r="Q159" s="2"/>
      <c r="R159" s="2"/>
      <c r="S159" s="2"/>
      <c r="T159" s="2"/>
      <c r="U159" s="2"/>
      <c r="V159" s="1"/>
      <c r="W159" s="1"/>
      <c r="X159" s="1"/>
      <c r="Y159" s="1"/>
      <c r="Z159" s="1"/>
      <c r="AA159" s="1"/>
      <c r="AB159" s="1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1"/>
      <c r="BY159" s="1"/>
      <c r="BZ159" s="1"/>
      <c r="CA159" s="1"/>
      <c r="CB159" s="1"/>
      <c r="CC159" s="1"/>
      <c r="CD159" s="3"/>
      <c r="CE159" s="3"/>
      <c r="CF159" s="1"/>
      <c r="CG159" s="1"/>
      <c r="CH159" s="3"/>
      <c r="CI159" s="3"/>
    </row>
    <row r="160" spans="4:87">
      <c r="D160" s="4"/>
      <c r="E160" s="4"/>
      <c r="F160" s="4"/>
      <c r="G160" s="4"/>
      <c r="H160" s="24">
        <v>46</v>
      </c>
      <c r="I160" s="24">
        <f>I159+(I164-I159)/5</f>
        <v>0.76159999999999994</v>
      </c>
      <c r="J160" s="24">
        <f>J159+(J164-J159)/5</f>
        <v>0.72119999999999995</v>
      </c>
      <c r="K160" s="78">
        <f>K159+(K164-K159)/5</f>
        <v>0.70080000000000009</v>
      </c>
      <c r="L160" s="4"/>
      <c r="M160" s="24">
        <v>53</v>
      </c>
      <c r="N160" s="24">
        <f>+N157+3*(N162-N157)/5</f>
        <v>0.70520000000000005</v>
      </c>
      <c r="O160" s="4"/>
      <c r="P160" s="1"/>
      <c r="Q160" s="2"/>
      <c r="R160" s="2"/>
      <c r="S160" s="2"/>
      <c r="T160" s="2"/>
      <c r="U160" s="2"/>
      <c r="V160" s="1"/>
      <c r="W160" s="1"/>
      <c r="X160" s="1"/>
      <c r="Y160" s="1"/>
      <c r="Z160" s="1"/>
      <c r="AA160" s="1"/>
      <c r="AB160" s="1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1"/>
      <c r="BY160" s="1"/>
      <c r="BZ160" s="1"/>
      <c r="CA160" s="1"/>
      <c r="CB160" s="1"/>
      <c r="CC160" s="1"/>
      <c r="CD160" s="3"/>
      <c r="CE160" s="3"/>
      <c r="CF160" s="1"/>
      <c r="CG160" s="1"/>
      <c r="CH160" s="3"/>
      <c r="CI160" s="3"/>
    </row>
    <row r="161" spans="4:87">
      <c r="D161" s="4"/>
      <c r="E161" s="4"/>
      <c r="F161" s="4"/>
      <c r="G161" s="4"/>
      <c r="H161" s="24">
        <v>47</v>
      </c>
      <c r="I161" s="24">
        <f>I159+2*(I164-I159)/5</f>
        <v>0.7802</v>
      </c>
      <c r="J161" s="24">
        <f>J159+2*(J164-J159)/5</f>
        <v>0.74239999999999995</v>
      </c>
      <c r="K161" s="78">
        <f>K159+2*(K164-K159)/5</f>
        <v>0.71960000000000002</v>
      </c>
      <c r="L161" s="4"/>
      <c r="M161" s="24">
        <v>54</v>
      </c>
      <c r="N161" s="24">
        <v>0.72</v>
      </c>
      <c r="O161" s="4"/>
      <c r="P161" s="1"/>
      <c r="Q161" s="2"/>
      <c r="R161" s="2"/>
      <c r="S161" s="2"/>
      <c r="T161" s="2"/>
      <c r="U161" s="2"/>
      <c r="V161" s="1"/>
      <c r="W161" s="1"/>
      <c r="X161" s="1"/>
      <c r="Y161" s="1"/>
      <c r="Z161" s="1"/>
      <c r="AA161" s="1"/>
      <c r="AB161" s="1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1"/>
      <c r="BY161" s="1"/>
      <c r="BZ161" s="1"/>
      <c r="CA161" s="1"/>
      <c r="CB161" s="1"/>
      <c r="CC161" s="1"/>
      <c r="CD161" s="3"/>
      <c r="CE161" s="3"/>
      <c r="CF161" s="1"/>
      <c r="CG161" s="1"/>
      <c r="CH161" s="3"/>
      <c r="CI161" s="3"/>
    </row>
    <row r="162" spans="4:87">
      <c r="D162" s="4"/>
      <c r="E162" s="4"/>
      <c r="F162" s="4"/>
      <c r="G162" s="4"/>
      <c r="H162" s="24">
        <v>48</v>
      </c>
      <c r="I162" s="24">
        <f>I159+3*(I164-I159)/5</f>
        <v>0.79879999999999995</v>
      </c>
      <c r="J162" s="24">
        <f>J159+3*(J164-J159)/5</f>
        <v>0.76360000000000006</v>
      </c>
      <c r="K162" s="78">
        <f>K159+3*(K164-K159)/5</f>
        <v>0.73840000000000006</v>
      </c>
      <c r="L162" s="4"/>
      <c r="M162" s="24">
        <v>55</v>
      </c>
      <c r="N162" s="24">
        <v>0.72</v>
      </c>
      <c r="O162" s="4"/>
      <c r="P162" s="1"/>
      <c r="Q162" s="2"/>
      <c r="R162" s="2"/>
      <c r="S162" s="2"/>
      <c r="T162" s="2"/>
      <c r="U162" s="2"/>
      <c r="V162" s="1"/>
      <c r="W162" s="1"/>
      <c r="X162" s="1"/>
      <c r="Y162" s="1"/>
      <c r="Z162" s="1"/>
      <c r="AA162" s="1"/>
      <c r="AB162" s="1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1"/>
      <c r="BY162" s="1"/>
      <c r="BZ162" s="1"/>
      <c r="CA162" s="1"/>
      <c r="CB162" s="1"/>
      <c r="CC162" s="1"/>
      <c r="CD162" s="3"/>
      <c r="CE162" s="3"/>
      <c r="CF162" s="1"/>
      <c r="CG162" s="1"/>
      <c r="CH162" s="3"/>
      <c r="CI162" s="3"/>
    </row>
    <row r="163" spans="4:87">
      <c r="D163" s="4"/>
      <c r="E163" s="4"/>
      <c r="F163" s="4"/>
      <c r="G163" s="4"/>
      <c r="H163" s="24">
        <v>49</v>
      </c>
      <c r="I163" s="24">
        <f>I159+4*(I164-I159)/5</f>
        <v>0.81740000000000002</v>
      </c>
      <c r="J163" s="24">
        <f>J159+4*(J164-J159)/5</f>
        <v>0.78480000000000005</v>
      </c>
      <c r="K163" s="78">
        <f>K159+4*(K164-K159)/5</f>
        <v>0.75719999999999998</v>
      </c>
      <c r="L163" s="4"/>
      <c r="M163" s="24">
        <v>56</v>
      </c>
      <c r="N163" s="24">
        <f>+N162+(N167-N162)/5</f>
        <v>0.72699999999999998</v>
      </c>
      <c r="O163" s="4"/>
      <c r="P163" s="1"/>
      <c r="Q163" s="2"/>
      <c r="R163" s="2"/>
      <c r="S163" s="2"/>
      <c r="T163" s="2"/>
      <c r="U163" s="2"/>
      <c r="V163" s="1"/>
      <c r="W163" s="1"/>
      <c r="X163" s="1"/>
      <c r="Y163" s="1"/>
      <c r="Z163" s="1"/>
      <c r="AA163" s="1"/>
      <c r="AB163" s="1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1"/>
      <c r="BY163" s="1"/>
      <c r="BZ163" s="1"/>
      <c r="CA163" s="1"/>
      <c r="CB163" s="1"/>
      <c r="CC163" s="1"/>
      <c r="CD163" s="3"/>
      <c r="CE163" s="3"/>
      <c r="CF163" s="1"/>
      <c r="CG163" s="1"/>
      <c r="CH163" s="3"/>
      <c r="CI163" s="3"/>
    </row>
    <row r="164" spans="4:87">
      <c r="D164" s="4"/>
      <c r="E164" s="4"/>
      <c r="F164" s="4"/>
      <c r="G164" s="4"/>
      <c r="H164" s="24">
        <v>50</v>
      </c>
      <c r="I164" s="24">
        <v>0.83599999999999997</v>
      </c>
      <c r="J164" s="24">
        <v>0.80600000000000005</v>
      </c>
      <c r="K164" s="78">
        <v>0.77600000000000002</v>
      </c>
      <c r="L164" s="4"/>
      <c r="M164" s="24">
        <v>57</v>
      </c>
      <c r="N164" s="24">
        <f>+N162+2*(N167-N162)/5</f>
        <v>0.73399999999999999</v>
      </c>
      <c r="O164" s="4"/>
      <c r="P164" s="1"/>
      <c r="Q164" s="2"/>
      <c r="R164" s="2"/>
      <c r="S164" s="2"/>
      <c r="T164" s="2"/>
      <c r="U164" s="2"/>
      <c r="V164" s="1"/>
      <c r="W164" s="1"/>
      <c r="X164" s="1"/>
      <c r="Y164" s="1"/>
      <c r="Z164" s="1"/>
      <c r="AA164" s="1"/>
      <c r="AB164" s="1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1"/>
      <c r="BY164" s="1"/>
      <c r="BZ164" s="1"/>
      <c r="CA164" s="1"/>
      <c r="CB164" s="1"/>
      <c r="CC164" s="1"/>
      <c r="CD164" s="3"/>
      <c r="CE164" s="3"/>
      <c r="CF164" s="1"/>
      <c r="CG164" s="1"/>
      <c r="CH164" s="3"/>
      <c r="CI164" s="3"/>
    </row>
    <row r="165" spans="4:87">
      <c r="D165" s="4"/>
      <c r="E165" s="4"/>
      <c r="F165" s="4"/>
      <c r="G165" s="4"/>
      <c r="H165" s="24">
        <v>51</v>
      </c>
      <c r="I165" s="24">
        <f>I164+(I169-I164)/5</f>
        <v>0.85519999999999996</v>
      </c>
      <c r="J165" s="24">
        <f>J164+(J169-J164)/5</f>
        <v>0.81980000000000008</v>
      </c>
      <c r="K165" s="78">
        <f>K164+(K169-K164)/5</f>
        <v>0.79520000000000002</v>
      </c>
      <c r="L165" s="4"/>
      <c r="M165" s="24">
        <v>58</v>
      </c>
      <c r="N165" s="24">
        <f>+N162+3*(N167-N162)/5</f>
        <v>0.74099999999999999</v>
      </c>
      <c r="O165" s="4"/>
      <c r="P165" s="1"/>
      <c r="Q165" s="2"/>
      <c r="R165" s="2"/>
      <c r="S165" s="2"/>
      <c r="T165" s="2"/>
      <c r="U165" s="2"/>
      <c r="V165" s="1"/>
      <c r="W165" s="1"/>
      <c r="X165" s="1"/>
      <c r="Y165" s="1"/>
      <c r="Z165" s="1"/>
      <c r="AA165" s="1"/>
      <c r="AB165" s="1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1"/>
      <c r="BY165" s="1"/>
      <c r="BZ165" s="1"/>
      <c r="CA165" s="1"/>
      <c r="CB165" s="1"/>
      <c r="CC165" s="1"/>
      <c r="CD165" s="3"/>
      <c r="CE165" s="3"/>
      <c r="CF165" s="1"/>
      <c r="CG165" s="1"/>
      <c r="CH165" s="3"/>
      <c r="CI165" s="3"/>
    </row>
    <row r="166" spans="4:87">
      <c r="D166" s="4"/>
      <c r="E166" s="4"/>
      <c r="F166" s="4"/>
      <c r="G166" s="4"/>
      <c r="H166" s="24">
        <v>52</v>
      </c>
      <c r="I166" s="24">
        <f>I164+2*(I169-I164)/5</f>
        <v>0.87439999999999996</v>
      </c>
      <c r="J166" s="24">
        <f>J164+2*(J169-J164)/5</f>
        <v>0.83360000000000001</v>
      </c>
      <c r="K166" s="78">
        <f>K164+2*(K169-K164)/5</f>
        <v>0.81440000000000001</v>
      </c>
      <c r="L166" s="4"/>
      <c r="M166" s="24">
        <v>59</v>
      </c>
      <c r="N166" s="24">
        <v>0.72</v>
      </c>
      <c r="O166" s="4"/>
      <c r="P166" s="1"/>
      <c r="Q166" s="2"/>
      <c r="R166" s="2"/>
      <c r="S166" s="2"/>
      <c r="T166" s="2"/>
      <c r="U166" s="2"/>
      <c r="V166" s="1"/>
      <c r="W166" s="1"/>
      <c r="X166" s="1"/>
      <c r="Y166" s="1"/>
      <c r="Z166" s="1"/>
      <c r="AA166" s="1"/>
      <c r="AB166" s="1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1"/>
      <c r="BY166" s="1"/>
      <c r="BZ166" s="1"/>
      <c r="CA166" s="1"/>
      <c r="CB166" s="1"/>
      <c r="CC166" s="1"/>
      <c r="CD166" s="3"/>
      <c r="CE166" s="3"/>
      <c r="CF166" s="1"/>
      <c r="CG166" s="1"/>
      <c r="CH166" s="3"/>
      <c r="CI166" s="3"/>
    </row>
    <row r="167" spans="4:87">
      <c r="D167" s="4"/>
      <c r="E167" s="4"/>
      <c r="F167" s="4"/>
      <c r="G167" s="4"/>
      <c r="H167" s="24">
        <v>53</v>
      </c>
      <c r="I167" s="24">
        <f>I164+3*(I169-I164)/5</f>
        <v>0.89360000000000006</v>
      </c>
      <c r="J167" s="24">
        <f>J164+3*(J169-J164)/5</f>
        <v>0.84740000000000004</v>
      </c>
      <c r="K167" s="78">
        <f>K164+3*(K169-K164)/5</f>
        <v>0.83360000000000001</v>
      </c>
      <c r="L167" s="4"/>
      <c r="M167" s="24">
        <v>60</v>
      </c>
      <c r="N167" s="24">
        <v>0.755</v>
      </c>
      <c r="O167" s="4"/>
      <c r="P167" s="1"/>
      <c r="Q167" s="2"/>
      <c r="R167" s="2"/>
      <c r="S167" s="2"/>
      <c r="T167" s="2"/>
      <c r="U167" s="2"/>
      <c r="V167" s="1"/>
      <c r="W167" s="1"/>
      <c r="X167" s="1"/>
      <c r="Y167" s="1"/>
      <c r="Z167" s="1"/>
      <c r="AA167" s="1"/>
      <c r="AB167" s="1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1"/>
      <c r="BY167" s="1"/>
      <c r="BZ167" s="1"/>
      <c r="CA167" s="1"/>
      <c r="CB167" s="1"/>
      <c r="CC167" s="1"/>
      <c r="CD167" s="3"/>
      <c r="CE167" s="3"/>
      <c r="CF167" s="1"/>
      <c r="CG167" s="1"/>
      <c r="CH167" s="3"/>
      <c r="CI167" s="3"/>
    </row>
    <row r="168" spans="4:87">
      <c r="D168" s="4"/>
      <c r="E168" s="4"/>
      <c r="F168" s="4"/>
      <c r="G168" s="4"/>
      <c r="H168" s="24">
        <v>54</v>
      </c>
      <c r="I168" s="24">
        <f>I164+4*(I169-I164)/5</f>
        <v>0.91280000000000006</v>
      </c>
      <c r="J168" s="24">
        <f>J164+4*(J169-J164)/5</f>
        <v>0.86119999999999997</v>
      </c>
      <c r="K168" s="78">
        <f>K164+4*(K169-K164)/5</f>
        <v>0.8528</v>
      </c>
      <c r="L168" s="4"/>
      <c r="M168" s="24">
        <v>61</v>
      </c>
      <c r="N168" s="24">
        <f>+N167+(N172-N167)/5</f>
        <v>0.76200000000000001</v>
      </c>
      <c r="O168" s="4"/>
      <c r="P168" s="1"/>
      <c r="Q168" s="2"/>
      <c r="R168" s="2"/>
      <c r="S168" s="2"/>
      <c r="T168" s="2"/>
      <c r="U168" s="2"/>
      <c r="V168" s="1"/>
      <c r="W168" s="1"/>
      <c r="X168" s="1"/>
      <c r="Y168" s="1"/>
      <c r="Z168" s="1"/>
      <c r="AA168" s="1"/>
      <c r="AB168" s="1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1"/>
      <c r="BY168" s="1"/>
      <c r="BZ168" s="1"/>
      <c r="CA168" s="1"/>
      <c r="CB168" s="1"/>
      <c r="CC168" s="1"/>
      <c r="CD168" s="3"/>
      <c r="CE168" s="3"/>
      <c r="CF168" s="1"/>
      <c r="CG168" s="1"/>
      <c r="CH168" s="3"/>
      <c r="CI168" s="3"/>
    </row>
    <row r="169" spans="4:87">
      <c r="D169" s="4"/>
      <c r="E169" s="4"/>
      <c r="F169" s="4"/>
      <c r="G169" s="4"/>
      <c r="H169" s="24">
        <v>55</v>
      </c>
      <c r="I169" s="24">
        <v>0.93200000000000005</v>
      </c>
      <c r="J169" s="54">
        <v>0.875</v>
      </c>
      <c r="K169" s="78">
        <v>0.872</v>
      </c>
      <c r="L169" s="4"/>
      <c r="M169" s="24">
        <v>62</v>
      </c>
      <c r="N169" s="24">
        <f>+N167+2*(N172-N167)/5</f>
        <v>0.76900000000000002</v>
      </c>
      <c r="O169" s="4"/>
      <c r="P169" s="1"/>
      <c r="Q169" s="2"/>
      <c r="R169" s="2"/>
      <c r="S169" s="2"/>
      <c r="T169" s="2"/>
      <c r="U169" s="2"/>
      <c r="V169" s="1"/>
      <c r="W169" s="1"/>
      <c r="X169" s="1"/>
      <c r="Y169" s="1"/>
      <c r="Z169" s="1"/>
      <c r="AA169" s="1"/>
      <c r="AB169" s="1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1"/>
      <c r="BY169" s="1"/>
      <c r="BZ169" s="1"/>
      <c r="CA169" s="1"/>
      <c r="CB169" s="1"/>
      <c r="CC169" s="1"/>
      <c r="CD169" s="3"/>
      <c r="CE169" s="3"/>
      <c r="CF169" s="1"/>
      <c r="CG169" s="1"/>
      <c r="CH169" s="3"/>
      <c r="CI169" s="3"/>
    </row>
    <row r="170" spans="4:87">
      <c r="D170" s="4"/>
      <c r="E170" s="4"/>
      <c r="F170" s="4"/>
      <c r="G170" s="4"/>
      <c r="H170" s="24">
        <v>56</v>
      </c>
      <c r="I170" s="24">
        <f>I169+(I174-I169)/5</f>
        <v>0.9516</v>
      </c>
      <c r="J170" s="24">
        <f>J169+(J174-J169)/5</f>
        <v>0.9</v>
      </c>
      <c r="K170" s="78">
        <f>K169+(K174-K169)/5</f>
        <v>0.89159999999999995</v>
      </c>
      <c r="L170" s="4"/>
      <c r="M170" s="24">
        <v>63</v>
      </c>
      <c r="N170" s="24">
        <f>+N167+3*(N172-N167)/5</f>
        <v>0.77600000000000002</v>
      </c>
      <c r="O170" s="4"/>
      <c r="P170" s="1"/>
      <c r="Q170" s="2"/>
      <c r="R170" s="2"/>
      <c r="S170" s="2"/>
      <c r="T170" s="2"/>
      <c r="U170" s="2"/>
      <c r="V170" s="1"/>
      <c r="W170" s="1"/>
      <c r="X170" s="1"/>
      <c r="Y170" s="1"/>
      <c r="Z170" s="1"/>
      <c r="AA170" s="1"/>
      <c r="AB170" s="1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1"/>
      <c r="BY170" s="1"/>
      <c r="BZ170" s="1"/>
      <c r="CA170" s="1"/>
      <c r="CB170" s="1"/>
      <c r="CC170" s="1"/>
      <c r="CD170" s="3"/>
      <c r="CE170" s="3"/>
      <c r="CF170" s="1"/>
      <c r="CG170" s="1"/>
      <c r="CH170" s="3"/>
      <c r="CI170" s="3"/>
    </row>
    <row r="171" spans="4:87">
      <c r="D171" s="4"/>
      <c r="E171" s="4"/>
      <c r="F171" s="4"/>
      <c r="G171" s="4"/>
      <c r="H171" s="24">
        <v>57</v>
      </c>
      <c r="I171" s="24">
        <f>I169+2*(I174-I169)/5</f>
        <v>0.97120000000000006</v>
      </c>
      <c r="J171" s="24">
        <f>J169+2*(J174-J169)/5</f>
        <v>0.92500000000000004</v>
      </c>
      <c r="K171" s="78">
        <f>K169+2*(K174-K169)/5</f>
        <v>0.91120000000000001</v>
      </c>
      <c r="L171" s="4"/>
      <c r="M171" s="24">
        <v>64</v>
      </c>
      <c r="N171" s="24">
        <f>+N167+4*(N172-N167)/5</f>
        <v>0.78300000000000003</v>
      </c>
      <c r="O171" s="4"/>
      <c r="P171" s="1"/>
      <c r="Q171" s="2"/>
      <c r="R171" s="2"/>
      <c r="S171" s="2"/>
      <c r="T171" s="2"/>
      <c r="U171" s="2"/>
      <c r="V171" s="1"/>
      <c r="W171" s="1"/>
      <c r="X171" s="1"/>
      <c r="Y171" s="1"/>
      <c r="Z171" s="1"/>
      <c r="AA171" s="1"/>
      <c r="AB171" s="1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1"/>
      <c r="BY171" s="1"/>
      <c r="BZ171" s="1"/>
      <c r="CA171" s="1"/>
      <c r="CB171" s="1"/>
      <c r="CC171" s="1"/>
      <c r="CD171" s="3"/>
      <c r="CE171" s="3"/>
      <c r="CF171" s="1"/>
      <c r="CG171" s="1"/>
      <c r="CH171" s="3"/>
      <c r="CI171" s="3"/>
    </row>
    <row r="172" spans="4:87">
      <c r="D172" s="4"/>
      <c r="E172" s="4"/>
      <c r="F172" s="4"/>
      <c r="G172" s="4"/>
      <c r="H172" s="24">
        <v>58</v>
      </c>
      <c r="I172" s="24">
        <f>I169+3*(I174-I169)/5</f>
        <v>0.99080000000000001</v>
      </c>
      <c r="J172" s="24">
        <f>J169+3*(J174-J169)/5</f>
        <v>0.95</v>
      </c>
      <c r="K172" s="78">
        <f>K169+3*(K174-K169)/5</f>
        <v>0.93079999999999996</v>
      </c>
      <c r="L172" s="4"/>
      <c r="M172" s="24">
        <v>65</v>
      </c>
      <c r="N172" s="24">
        <v>0.79</v>
      </c>
      <c r="O172" s="4"/>
      <c r="P172" s="1"/>
      <c r="Q172" s="2"/>
      <c r="R172" s="2"/>
      <c r="S172" s="2"/>
      <c r="T172" s="2"/>
      <c r="U172" s="2"/>
      <c r="V172" s="1"/>
      <c r="W172" s="1"/>
      <c r="X172" s="1"/>
      <c r="Y172" s="1"/>
      <c r="Z172" s="1"/>
      <c r="AA172" s="1"/>
      <c r="AB172" s="1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1"/>
      <c r="BY172" s="1"/>
      <c r="BZ172" s="1"/>
      <c r="CA172" s="1"/>
      <c r="CB172" s="1"/>
      <c r="CC172" s="1"/>
      <c r="CD172" s="3"/>
      <c r="CE172" s="3"/>
      <c r="CF172" s="1"/>
      <c r="CG172" s="1"/>
      <c r="CH172" s="3"/>
      <c r="CI172" s="3"/>
    </row>
    <row r="173" spans="4:87">
      <c r="D173" s="4"/>
      <c r="E173" s="4"/>
      <c r="F173" s="4"/>
      <c r="G173" s="4"/>
      <c r="H173" s="24">
        <v>59</v>
      </c>
      <c r="I173" s="24">
        <f>I169+4*(I174-I169)/5</f>
        <v>1.0104</v>
      </c>
      <c r="J173" s="24">
        <f>J169+4*(J174-J169)/5</f>
        <v>0.97499999999999998</v>
      </c>
      <c r="K173" s="78">
        <f>K169+4*(K174-K169)/5</f>
        <v>0.95040000000000002</v>
      </c>
      <c r="L173" s="4"/>
      <c r="M173" s="24">
        <v>66</v>
      </c>
      <c r="N173" s="24">
        <f>+N172+(N177-N172)/5</f>
        <v>0.79720000000000002</v>
      </c>
      <c r="O173" s="4"/>
      <c r="P173" s="1"/>
      <c r="Q173" s="2"/>
      <c r="R173" s="2"/>
      <c r="S173" s="2"/>
      <c r="T173" s="2"/>
      <c r="U173" s="2"/>
      <c r="V173" s="1"/>
      <c r="W173" s="1"/>
      <c r="X173" s="1"/>
      <c r="Y173" s="1"/>
      <c r="Z173" s="1"/>
      <c r="AA173" s="1"/>
      <c r="AB173" s="1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1"/>
      <c r="BY173" s="1"/>
      <c r="BZ173" s="1"/>
      <c r="CA173" s="1"/>
      <c r="CB173" s="1"/>
      <c r="CC173" s="1"/>
      <c r="CD173" s="3"/>
      <c r="CE173" s="3"/>
      <c r="CF173" s="1"/>
      <c r="CG173" s="1"/>
      <c r="CH173" s="3"/>
      <c r="CI173" s="3"/>
    </row>
    <row r="174" spans="4:87">
      <c r="D174" s="4"/>
      <c r="E174" s="4"/>
      <c r="F174" s="4"/>
      <c r="G174" s="4"/>
      <c r="H174" s="24">
        <v>60</v>
      </c>
      <c r="I174" s="24">
        <v>1.03</v>
      </c>
      <c r="J174" s="24">
        <v>1</v>
      </c>
      <c r="K174" s="78">
        <v>0.97</v>
      </c>
      <c r="L174" s="4"/>
      <c r="M174" s="24">
        <v>67</v>
      </c>
      <c r="N174" s="24">
        <f>+N172+2*(N177-N172)/5</f>
        <v>0.8044</v>
      </c>
      <c r="O174" s="4"/>
      <c r="P174" s="1"/>
      <c r="Q174" s="2"/>
      <c r="R174" s="2"/>
      <c r="S174" s="2"/>
      <c r="T174" s="2"/>
      <c r="U174" s="2"/>
      <c r="V174" s="1"/>
      <c r="W174" s="1"/>
      <c r="X174" s="1"/>
      <c r="Y174" s="1"/>
      <c r="Z174" s="1"/>
      <c r="AA174" s="1"/>
      <c r="AB174" s="1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1"/>
      <c r="BY174" s="1"/>
      <c r="BZ174" s="1"/>
      <c r="CA174" s="1"/>
      <c r="CB174" s="1"/>
      <c r="CC174" s="1"/>
      <c r="CD174" s="3"/>
      <c r="CE174" s="3"/>
      <c r="CF174" s="1"/>
      <c r="CG174" s="1"/>
      <c r="CH174" s="3"/>
      <c r="CI174" s="3"/>
    </row>
    <row r="175" spans="4:87">
      <c r="D175" s="4"/>
      <c r="E175" s="4"/>
      <c r="F175" s="4"/>
      <c r="G175" s="4"/>
      <c r="H175" s="24">
        <v>61</v>
      </c>
      <c r="I175" s="24">
        <f>I174+(I179-I174)/5</f>
        <v>1.0504</v>
      </c>
      <c r="J175" s="24">
        <f>J174+(J179-J174)/5</f>
        <v>1.0204</v>
      </c>
      <c r="K175" s="78">
        <f>K174+(K179-K174)/5</f>
        <v>0.99039999999999995</v>
      </c>
      <c r="L175" s="4"/>
      <c r="M175" s="24">
        <v>68</v>
      </c>
      <c r="N175" s="24">
        <f>+N172+3*(N177-N172)/5</f>
        <v>0.81159999999999999</v>
      </c>
      <c r="O175" s="4"/>
      <c r="P175" s="1"/>
      <c r="Q175" s="2"/>
      <c r="R175" s="2"/>
      <c r="S175" s="2"/>
      <c r="T175" s="2"/>
      <c r="U175" s="2"/>
      <c r="V175" s="1"/>
      <c r="W175" s="1"/>
      <c r="X175" s="1"/>
      <c r="Y175" s="1"/>
      <c r="Z175" s="1"/>
      <c r="AA175" s="1"/>
      <c r="AB175" s="1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1"/>
      <c r="BY175" s="1"/>
      <c r="BZ175" s="1"/>
      <c r="CA175" s="1"/>
      <c r="CB175" s="1"/>
      <c r="CC175" s="1"/>
      <c r="CD175" s="3"/>
      <c r="CE175" s="3"/>
      <c r="CF175" s="1"/>
      <c r="CG175" s="1"/>
      <c r="CH175" s="3"/>
      <c r="CI175" s="3"/>
    </row>
    <row r="176" spans="4:87">
      <c r="D176" s="4"/>
      <c r="E176" s="4"/>
      <c r="F176" s="4"/>
      <c r="G176" s="4"/>
      <c r="H176" s="24">
        <v>62</v>
      </c>
      <c r="I176" s="24">
        <f>I174+2*(I179-I174)/5</f>
        <v>1.0708</v>
      </c>
      <c r="J176" s="24">
        <f>J174+2*(J179-J174)/5</f>
        <v>1.0407999999999999</v>
      </c>
      <c r="K176" s="78">
        <f>K174+2*(K179-K174)/5</f>
        <v>1.0107999999999999</v>
      </c>
      <c r="L176" s="4"/>
      <c r="M176" s="24">
        <v>69</v>
      </c>
      <c r="N176" s="24">
        <f>+N172+4*(N177-N172)/5</f>
        <v>0.81879999999999997</v>
      </c>
      <c r="O176" s="4"/>
      <c r="P176" s="1"/>
      <c r="Q176" s="2"/>
      <c r="R176" s="2"/>
      <c r="S176" s="2"/>
      <c r="T176" s="2"/>
      <c r="U176" s="2"/>
      <c r="V176" s="1"/>
      <c r="W176" s="1"/>
      <c r="X176" s="1"/>
      <c r="Y176" s="1"/>
      <c r="Z176" s="1"/>
      <c r="AA176" s="1"/>
      <c r="AB176" s="1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1"/>
      <c r="BY176" s="1"/>
      <c r="BZ176" s="1"/>
      <c r="CA176" s="1"/>
      <c r="CB176" s="1"/>
      <c r="CC176" s="1"/>
      <c r="CD176" s="3"/>
      <c r="CE176" s="3"/>
      <c r="CF176" s="1"/>
      <c r="CG176" s="1"/>
      <c r="CH176" s="3"/>
      <c r="CI176" s="3"/>
    </row>
    <row r="177" spans="4:87">
      <c r="D177" s="4"/>
      <c r="E177" s="4"/>
      <c r="F177" s="4"/>
      <c r="G177" s="4"/>
      <c r="H177" s="24">
        <v>63</v>
      </c>
      <c r="I177" s="24">
        <f>I174+3*(I179-I174)/5</f>
        <v>1.0911999999999999</v>
      </c>
      <c r="J177" s="24">
        <f>J174+3*(J179-J174)/5</f>
        <v>1.0612000000000001</v>
      </c>
      <c r="K177" s="78">
        <f>K174+3*(K179-K174)/5</f>
        <v>1.0312000000000001</v>
      </c>
      <c r="L177" s="4"/>
      <c r="M177" s="24">
        <v>70</v>
      </c>
      <c r="N177" s="24">
        <v>0.82599999999999996</v>
      </c>
      <c r="O177" s="4"/>
      <c r="P177" s="1"/>
      <c r="Q177" s="2"/>
      <c r="R177" s="2"/>
      <c r="S177" s="2"/>
      <c r="T177" s="2"/>
      <c r="U177" s="2"/>
      <c r="V177" s="1"/>
      <c r="W177" s="1"/>
      <c r="X177" s="1"/>
      <c r="Y177" s="1"/>
      <c r="Z177" s="1"/>
      <c r="AA177" s="1"/>
      <c r="AB177" s="1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1"/>
      <c r="BY177" s="1"/>
      <c r="BZ177" s="1"/>
      <c r="CA177" s="1"/>
      <c r="CB177" s="1"/>
      <c r="CC177" s="1"/>
      <c r="CD177" s="3"/>
      <c r="CE177" s="3"/>
      <c r="CF177" s="1"/>
      <c r="CG177" s="1"/>
      <c r="CH177" s="3"/>
      <c r="CI177" s="3"/>
    </row>
    <row r="178" spans="4:87">
      <c r="D178" s="4"/>
      <c r="E178" s="4"/>
      <c r="F178" s="4"/>
      <c r="G178" s="4"/>
      <c r="H178" s="24">
        <v>64</v>
      </c>
      <c r="I178" s="24">
        <f>I174+4*(I179-I174)/5</f>
        <v>1.1115999999999999</v>
      </c>
      <c r="J178" s="24">
        <f>J174+4*(J179-J174)/5</f>
        <v>1.0816000000000001</v>
      </c>
      <c r="K178" s="78">
        <f>K174+4*(K179-K174)/5</f>
        <v>1.0516000000000001</v>
      </c>
      <c r="L178" s="4"/>
      <c r="M178" s="24">
        <v>71</v>
      </c>
      <c r="N178" s="24">
        <f>+N177+(N182-N177)/5</f>
        <v>0.83239999999999992</v>
      </c>
      <c r="O178" s="4"/>
      <c r="P178" s="1"/>
      <c r="Q178" s="2"/>
      <c r="R178" s="2"/>
      <c r="S178" s="2"/>
      <c r="T178" s="2"/>
      <c r="U178" s="2"/>
      <c r="V178" s="1"/>
      <c r="W178" s="1"/>
      <c r="X178" s="1"/>
      <c r="Y178" s="1"/>
      <c r="Z178" s="1"/>
      <c r="AA178" s="1"/>
      <c r="AB178" s="1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1"/>
      <c r="BY178" s="1"/>
      <c r="BZ178" s="1"/>
      <c r="CA178" s="1"/>
      <c r="CB178" s="1"/>
      <c r="CC178" s="1"/>
      <c r="CD178" s="3"/>
      <c r="CE178" s="3"/>
      <c r="CF178" s="1"/>
      <c r="CG178" s="1"/>
      <c r="CH178" s="3"/>
      <c r="CI178" s="3"/>
    </row>
    <row r="179" spans="4:87">
      <c r="D179" s="4"/>
      <c r="E179" s="4"/>
      <c r="F179" s="4"/>
      <c r="G179" s="4"/>
      <c r="H179" s="24">
        <v>65</v>
      </c>
      <c r="I179" s="24">
        <v>1.1319999999999999</v>
      </c>
      <c r="J179" s="24">
        <v>1.1020000000000001</v>
      </c>
      <c r="K179" s="78">
        <v>1.0720000000000001</v>
      </c>
      <c r="L179" s="4"/>
      <c r="M179" s="24">
        <v>72</v>
      </c>
      <c r="N179" s="24">
        <f>+N177+2*(N182-N177)/5</f>
        <v>0.83879999999999999</v>
      </c>
      <c r="O179" s="4"/>
      <c r="P179" s="1"/>
      <c r="Q179" s="2"/>
      <c r="R179" s="2"/>
      <c r="S179" s="2"/>
      <c r="T179" s="2"/>
      <c r="U179" s="2"/>
      <c r="V179" s="1"/>
      <c r="W179" s="1"/>
      <c r="X179" s="1"/>
      <c r="Y179" s="1"/>
      <c r="Z179" s="1"/>
      <c r="AA179" s="1"/>
      <c r="AB179" s="1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1"/>
      <c r="BY179" s="1"/>
      <c r="BZ179" s="1"/>
      <c r="CA179" s="1"/>
      <c r="CB179" s="1"/>
      <c r="CC179" s="1"/>
      <c r="CD179" s="3"/>
      <c r="CE179" s="3"/>
      <c r="CF179" s="1"/>
      <c r="CG179" s="1"/>
      <c r="CH179" s="3"/>
      <c r="CI179" s="3"/>
    </row>
    <row r="180" spans="4:87">
      <c r="D180" s="4"/>
      <c r="E180" s="4"/>
      <c r="F180" s="4"/>
      <c r="G180" s="4"/>
      <c r="H180" s="24">
        <v>66</v>
      </c>
      <c r="I180" s="24">
        <f>I179+(I184-I179)/5</f>
        <v>1.1527999999999998</v>
      </c>
      <c r="J180" s="24">
        <f>J179+(J184-J179)/5</f>
        <v>1.1228</v>
      </c>
      <c r="K180" s="78">
        <f>K179+(K184-K179)/5</f>
        <v>1.0928</v>
      </c>
      <c r="L180" s="4"/>
      <c r="M180" s="24">
        <v>73</v>
      </c>
      <c r="N180" s="24">
        <f>+N177+3*(N182-N177)/5</f>
        <v>0.84519999999999995</v>
      </c>
      <c r="O180" s="4"/>
      <c r="P180" s="1"/>
      <c r="Q180" s="2"/>
      <c r="R180" s="2"/>
      <c r="S180" s="2"/>
      <c r="T180" s="2"/>
      <c r="U180" s="2"/>
      <c r="V180" s="1"/>
      <c r="W180" s="1"/>
      <c r="X180" s="1"/>
      <c r="Y180" s="1"/>
      <c r="Z180" s="1"/>
      <c r="AA180" s="1"/>
      <c r="AB180" s="1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1"/>
      <c r="BY180" s="1"/>
      <c r="BZ180" s="1"/>
      <c r="CA180" s="1"/>
      <c r="CB180" s="1"/>
      <c r="CC180" s="1"/>
      <c r="CD180" s="3"/>
      <c r="CE180" s="3"/>
      <c r="CF180" s="1"/>
      <c r="CG180" s="1"/>
      <c r="CH180" s="3"/>
      <c r="CI180" s="3"/>
    </row>
    <row r="181" spans="4:87">
      <c r="D181" s="4"/>
      <c r="E181" s="4"/>
      <c r="F181" s="4"/>
      <c r="G181" s="4"/>
      <c r="H181" s="24">
        <v>67</v>
      </c>
      <c r="I181" s="24">
        <f>I179+2*(I184-I179)/5</f>
        <v>1.1736</v>
      </c>
      <c r="J181" s="24">
        <f>J179+2*(J184-J179)/5</f>
        <v>1.1435999999999999</v>
      </c>
      <c r="K181" s="78">
        <f>K179+2*(K184-K179)/5</f>
        <v>1.1135999999999999</v>
      </c>
      <c r="L181" s="4"/>
      <c r="M181" s="24">
        <v>74</v>
      </c>
      <c r="N181" s="24">
        <f>+N177+4*(N182-N177)/5</f>
        <v>0.85160000000000002</v>
      </c>
      <c r="O181" s="4"/>
      <c r="P181" s="1"/>
      <c r="Q181" s="2"/>
      <c r="R181" s="2"/>
      <c r="S181" s="2"/>
      <c r="T181" s="2"/>
      <c r="U181" s="2"/>
      <c r="V181" s="1"/>
      <c r="W181" s="1"/>
      <c r="X181" s="1"/>
      <c r="Y181" s="1"/>
      <c r="Z181" s="1"/>
      <c r="AA181" s="1"/>
      <c r="AB181" s="1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1"/>
      <c r="BY181" s="1"/>
      <c r="BZ181" s="1"/>
      <c r="CA181" s="1"/>
      <c r="CB181" s="1"/>
      <c r="CC181" s="1"/>
      <c r="CD181" s="3"/>
      <c r="CE181" s="3"/>
      <c r="CF181" s="1"/>
      <c r="CG181" s="1"/>
      <c r="CH181" s="3"/>
      <c r="CI181" s="3"/>
    </row>
    <row r="182" spans="4:87">
      <c r="D182" s="4"/>
      <c r="E182" s="4"/>
      <c r="F182" s="4"/>
      <c r="G182" s="4"/>
      <c r="H182" s="24">
        <v>68</v>
      </c>
      <c r="I182" s="24">
        <f>I179+3*(I184-I179)/5</f>
        <v>1.1943999999999999</v>
      </c>
      <c r="J182" s="24">
        <f>J179+3*(J184-J179)/5</f>
        <v>1.1644000000000001</v>
      </c>
      <c r="K182" s="78">
        <f>K179+3*(K184-K179)/5</f>
        <v>1.1344000000000001</v>
      </c>
      <c r="L182" s="4"/>
      <c r="M182" s="24">
        <v>75</v>
      </c>
      <c r="N182" s="24">
        <v>0.85799999999999998</v>
      </c>
      <c r="O182" s="4"/>
      <c r="P182" s="1"/>
      <c r="Q182" s="2"/>
      <c r="R182" s="2"/>
      <c r="S182" s="2"/>
      <c r="T182" s="2"/>
      <c r="U182" s="2"/>
      <c r="V182" s="1"/>
      <c r="W182" s="1"/>
      <c r="X182" s="1"/>
      <c r="Y182" s="1"/>
      <c r="Z182" s="1"/>
      <c r="AA182" s="1"/>
      <c r="AB182" s="1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1"/>
      <c r="BY182" s="1"/>
      <c r="BZ182" s="1"/>
      <c r="CA182" s="1"/>
      <c r="CB182" s="1"/>
      <c r="CC182" s="1"/>
      <c r="CD182" s="3"/>
      <c r="CE182" s="3"/>
      <c r="CF182" s="1"/>
      <c r="CG182" s="1"/>
      <c r="CH182" s="3"/>
      <c r="CI182" s="3"/>
    </row>
    <row r="183" spans="4:87">
      <c r="D183" s="4"/>
      <c r="E183" s="4"/>
      <c r="F183" s="4"/>
      <c r="G183" s="4"/>
      <c r="H183" s="24">
        <v>69</v>
      </c>
      <c r="I183" s="24">
        <f>I179+4*(I184-I179)/5</f>
        <v>1.2152000000000001</v>
      </c>
      <c r="J183" s="24">
        <f>J179+4*(J184-J179)/5</f>
        <v>1.1852</v>
      </c>
      <c r="K183" s="78">
        <f>K179+4*(K184-K179)/5</f>
        <v>1.1552</v>
      </c>
      <c r="L183" s="4"/>
      <c r="M183" s="24">
        <v>76</v>
      </c>
      <c r="N183" s="24">
        <f>+N182+(N187-N182)/5</f>
        <v>0.86439999999999995</v>
      </c>
      <c r="O183" s="4"/>
      <c r="P183" s="1"/>
      <c r="Q183" s="2"/>
      <c r="R183" s="2"/>
      <c r="S183" s="2"/>
      <c r="T183" s="2"/>
      <c r="U183" s="2"/>
      <c r="V183" s="1"/>
      <c r="W183" s="1"/>
      <c r="X183" s="1"/>
      <c r="Y183" s="1"/>
      <c r="Z183" s="1"/>
      <c r="AA183" s="1"/>
      <c r="AB183" s="1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1"/>
      <c r="BY183" s="1"/>
      <c r="BZ183" s="1"/>
      <c r="CA183" s="1"/>
      <c r="CB183" s="1"/>
      <c r="CC183" s="1"/>
      <c r="CD183" s="3"/>
      <c r="CE183" s="3"/>
      <c r="CF183" s="1"/>
      <c r="CG183" s="1"/>
      <c r="CH183" s="3"/>
      <c r="CI183" s="3"/>
    </row>
    <row r="184" spans="4:87">
      <c r="D184" s="4"/>
      <c r="E184" s="4"/>
      <c r="F184" s="4"/>
      <c r="G184" s="4"/>
      <c r="H184" s="24">
        <v>70</v>
      </c>
      <c r="I184" s="24">
        <v>1.236</v>
      </c>
      <c r="J184" s="24">
        <v>1.206</v>
      </c>
      <c r="K184" s="78">
        <v>1.1759999999999999</v>
      </c>
      <c r="L184" s="4"/>
      <c r="M184" s="24">
        <v>77</v>
      </c>
      <c r="N184" s="24">
        <f>+N182+2*(N187-N182)/5</f>
        <v>0.87080000000000002</v>
      </c>
      <c r="O184" s="4"/>
      <c r="P184" s="1"/>
      <c r="Q184" s="2"/>
      <c r="R184" s="2"/>
      <c r="S184" s="2"/>
      <c r="T184" s="2"/>
      <c r="U184" s="2"/>
      <c r="V184" s="1"/>
      <c r="W184" s="1"/>
      <c r="X184" s="1"/>
      <c r="Y184" s="1"/>
      <c r="Z184" s="1"/>
      <c r="AA184" s="1"/>
      <c r="AB184" s="1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1"/>
      <c r="BY184" s="1"/>
      <c r="BZ184" s="1"/>
      <c r="CA184" s="1"/>
      <c r="CB184" s="1"/>
      <c r="CC184" s="1"/>
      <c r="CD184" s="3"/>
      <c r="CE184" s="3"/>
      <c r="CF184" s="1"/>
      <c r="CG184" s="1"/>
      <c r="CH184" s="3"/>
      <c r="CI184" s="3"/>
    </row>
    <row r="185" spans="4:87">
      <c r="D185" s="4"/>
      <c r="E185" s="4"/>
      <c r="F185" s="4"/>
      <c r="G185" s="4"/>
      <c r="H185" s="24">
        <v>71</v>
      </c>
      <c r="I185" s="24">
        <f>I184+(I189-I184)/5</f>
        <v>1.2572000000000001</v>
      </c>
      <c r="J185" s="24">
        <f>J184+(J189-J184)/5</f>
        <v>1.2272000000000001</v>
      </c>
      <c r="K185" s="78">
        <f>K184+(K189-K184)/5</f>
        <v>1.1969999999999998</v>
      </c>
      <c r="L185" s="4"/>
      <c r="M185" s="24">
        <v>78</v>
      </c>
      <c r="N185" s="24">
        <f>+N182+3*(N187-N182)/5</f>
        <v>0.87719999999999998</v>
      </c>
      <c r="O185" s="4"/>
      <c r="P185" s="1"/>
      <c r="Q185" s="2"/>
      <c r="R185" s="2"/>
      <c r="S185" s="2"/>
      <c r="T185" s="2"/>
      <c r="U185" s="2"/>
      <c r="V185" s="1"/>
      <c r="W185" s="1"/>
      <c r="X185" s="1"/>
      <c r="Y185" s="1"/>
      <c r="Z185" s="1"/>
      <c r="AA185" s="1"/>
      <c r="AB185" s="1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1"/>
      <c r="BY185" s="1"/>
      <c r="BZ185" s="1"/>
      <c r="CA185" s="1"/>
      <c r="CB185" s="1"/>
      <c r="CC185" s="1"/>
      <c r="CD185" s="3"/>
      <c r="CE185" s="3"/>
      <c r="CF185" s="1"/>
      <c r="CG185" s="1"/>
      <c r="CH185" s="3"/>
      <c r="CI185" s="3"/>
    </row>
    <row r="186" spans="4:87">
      <c r="D186" s="4"/>
      <c r="E186" s="4"/>
      <c r="F186" s="4"/>
      <c r="G186" s="4"/>
      <c r="H186" s="24">
        <v>72</v>
      </c>
      <c r="I186" s="24">
        <f>I184+2*(I189-I184)/5</f>
        <v>1.2784</v>
      </c>
      <c r="J186" s="24">
        <f>J184+2*(J189-J184)/5</f>
        <v>1.2484</v>
      </c>
      <c r="K186" s="78">
        <f>K184+2*(K189-K184)/5</f>
        <v>1.218</v>
      </c>
      <c r="L186" s="4"/>
      <c r="M186" s="24">
        <v>79</v>
      </c>
      <c r="N186" s="24">
        <f>+N182+4*(N187-N182)/5</f>
        <v>0.88360000000000005</v>
      </c>
      <c r="O186" s="4"/>
      <c r="P186" s="1"/>
      <c r="Q186" s="2"/>
      <c r="R186" s="2"/>
      <c r="S186" s="2"/>
      <c r="T186" s="2"/>
      <c r="U186" s="2"/>
      <c r="V186" s="1"/>
      <c r="W186" s="1"/>
      <c r="X186" s="1"/>
      <c r="Y186" s="1"/>
      <c r="Z186" s="1"/>
      <c r="AA186" s="1"/>
      <c r="AB186" s="1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1"/>
      <c r="BY186" s="1"/>
      <c r="BZ186" s="1"/>
      <c r="CA186" s="1"/>
      <c r="CB186" s="1"/>
      <c r="CC186" s="1"/>
      <c r="CD186" s="3"/>
      <c r="CE186" s="3"/>
      <c r="CF186" s="1"/>
      <c r="CG186" s="1"/>
      <c r="CH186" s="3"/>
      <c r="CI186" s="3"/>
    </row>
    <row r="187" spans="4:87">
      <c r="D187" s="4"/>
      <c r="E187" s="4"/>
      <c r="F187" s="4"/>
      <c r="G187" s="4"/>
      <c r="H187" s="24">
        <v>73</v>
      </c>
      <c r="I187" s="24">
        <f>I184+3*(I189-I184)/5</f>
        <v>1.2996000000000001</v>
      </c>
      <c r="J187" s="24">
        <f>J184+3*(J189-J184)/5</f>
        <v>1.2696000000000001</v>
      </c>
      <c r="K187" s="78">
        <f>K184+3*(K189-K184)/5</f>
        <v>1.2389999999999999</v>
      </c>
      <c r="L187" s="4"/>
      <c r="M187" s="24">
        <v>80</v>
      </c>
      <c r="N187" s="24">
        <v>0.89</v>
      </c>
      <c r="O187" s="4"/>
      <c r="P187" s="1"/>
      <c r="Q187" s="2"/>
      <c r="R187" s="2"/>
      <c r="S187" s="2"/>
      <c r="T187" s="2"/>
      <c r="U187" s="2"/>
      <c r="V187" s="1"/>
      <c r="W187" s="1"/>
      <c r="X187" s="1"/>
      <c r="Y187" s="1"/>
      <c r="Z187" s="1"/>
      <c r="AA187" s="1"/>
      <c r="AB187" s="1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1"/>
      <c r="BY187" s="1"/>
      <c r="BZ187" s="1"/>
      <c r="CA187" s="1"/>
      <c r="CB187" s="1"/>
      <c r="CC187" s="1"/>
      <c r="CD187" s="3"/>
      <c r="CE187" s="3"/>
      <c r="CF187" s="1"/>
      <c r="CG187" s="1"/>
      <c r="CH187" s="3"/>
      <c r="CI187" s="3"/>
    </row>
    <row r="188" spans="4:87">
      <c r="D188" s="4"/>
      <c r="E188" s="4"/>
      <c r="F188" s="4"/>
      <c r="G188" s="4"/>
      <c r="H188" s="24">
        <v>74</v>
      </c>
      <c r="I188" s="24">
        <f>I184+4*(I189-I184)/5</f>
        <v>1.3208</v>
      </c>
      <c r="J188" s="24">
        <f>J184+4*(J189-J184)/5</f>
        <v>1.2907999999999999</v>
      </c>
      <c r="K188" s="78">
        <f>K184+4*(K189-K184)/5</f>
        <v>1.26</v>
      </c>
      <c r="L188" s="4"/>
      <c r="M188" s="24">
        <v>81</v>
      </c>
      <c r="N188" s="24">
        <f>+N187+(N192-N187)/5</f>
        <v>0.89600000000000002</v>
      </c>
      <c r="O188" s="4"/>
      <c r="P188" s="1"/>
      <c r="Q188" s="2"/>
      <c r="R188" s="2"/>
      <c r="S188" s="2"/>
      <c r="T188" s="2"/>
      <c r="U188" s="2"/>
      <c r="V188" s="1"/>
      <c r="W188" s="1"/>
      <c r="X188" s="1"/>
      <c r="Y188" s="1"/>
      <c r="Z188" s="1"/>
      <c r="AA188" s="1"/>
      <c r="AB188" s="1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1"/>
      <c r="BY188" s="1"/>
      <c r="BZ188" s="1"/>
      <c r="CA188" s="1"/>
      <c r="CB188" s="1"/>
      <c r="CC188" s="1"/>
      <c r="CD188" s="3"/>
      <c r="CE188" s="3"/>
      <c r="CF188" s="1"/>
      <c r="CG188" s="1"/>
      <c r="CH188" s="3"/>
      <c r="CI188" s="3"/>
    </row>
    <row r="189" spans="4:87">
      <c r="D189" s="4"/>
      <c r="E189" s="4"/>
      <c r="F189" s="4"/>
      <c r="G189" s="4"/>
      <c r="H189" s="24">
        <v>75</v>
      </c>
      <c r="I189" s="24">
        <v>1.3420000000000001</v>
      </c>
      <c r="J189" s="24">
        <v>1.3120000000000001</v>
      </c>
      <c r="K189" s="78">
        <v>1.2809999999999999</v>
      </c>
      <c r="L189" s="4"/>
      <c r="M189" s="24">
        <v>82</v>
      </c>
      <c r="N189" s="24">
        <f>+N187+2*(N192-N187)/5</f>
        <v>0.90200000000000002</v>
      </c>
      <c r="O189" s="4"/>
      <c r="P189" s="1"/>
      <c r="Q189" s="2"/>
      <c r="R189" s="2"/>
      <c r="S189" s="2"/>
      <c r="T189" s="2"/>
      <c r="U189" s="2"/>
      <c r="V189" s="1"/>
      <c r="W189" s="1"/>
      <c r="X189" s="1"/>
      <c r="Y189" s="1"/>
      <c r="Z189" s="1"/>
      <c r="AA189" s="1"/>
      <c r="AB189" s="1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1"/>
      <c r="BY189" s="1"/>
      <c r="BZ189" s="1"/>
      <c r="CA189" s="1"/>
      <c r="CB189" s="1"/>
      <c r="CC189" s="1"/>
      <c r="CD189" s="3"/>
      <c r="CE189" s="3"/>
      <c r="CF189" s="1"/>
      <c r="CG189" s="1"/>
      <c r="CH189" s="3"/>
      <c r="CI189" s="3"/>
    </row>
    <row r="190" spans="4:87">
      <c r="D190" s="4"/>
      <c r="E190" s="4"/>
      <c r="F190" s="4"/>
      <c r="G190" s="4"/>
      <c r="H190" s="24">
        <v>76</v>
      </c>
      <c r="I190" s="24">
        <f>I189+(I194-I189)/5</f>
        <v>1.3636000000000001</v>
      </c>
      <c r="J190" s="24">
        <f>J189+(J194-J189)/5</f>
        <v>1.3336000000000001</v>
      </c>
      <c r="K190" s="78">
        <f>K189+(K194-K189)/5</f>
        <v>1.3026</v>
      </c>
      <c r="L190" s="4"/>
      <c r="M190" s="24">
        <v>83</v>
      </c>
      <c r="N190" s="24">
        <f>+N187+3*(N192-N187)/5</f>
        <v>0.90800000000000003</v>
      </c>
      <c r="O190" s="4"/>
      <c r="P190" s="1"/>
      <c r="Q190" s="2"/>
      <c r="R190" s="2"/>
      <c r="S190" s="2"/>
      <c r="T190" s="2"/>
      <c r="U190" s="2"/>
      <c r="V190" s="1"/>
      <c r="W190" s="1"/>
      <c r="X190" s="1"/>
      <c r="Y190" s="1"/>
      <c r="Z190" s="1"/>
      <c r="AA190" s="1"/>
      <c r="AB190" s="1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1"/>
      <c r="BY190" s="1"/>
      <c r="BZ190" s="1"/>
      <c r="CA190" s="1"/>
      <c r="CB190" s="1"/>
      <c r="CC190" s="1"/>
      <c r="CD190" s="3"/>
      <c r="CE190" s="3"/>
      <c r="CF190" s="1"/>
      <c r="CG190" s="1"/>
      <c r="CH190" s="3"/>
      <c r="CI190" s="3"/>
    </row>
    <row r="191" spans="4:87">
      <c r="D191" s="4"/>
      <c r="E191" s="4"/>
      <c r="F191" s="4"/>
      <c r="G191" s="4"/>
      <c r="H191" s="24">
        <v>77</v>
      </c>
      <c r="I191" s="24">
        <f>I189+2*(I194-I189)/5</f>
        <v>1.3852</v>
      </c>
      <c r="J191" s="24">
        <f>J189+2*(J194-J189)/5</f>
        <v>1.3552</v>
      </c>
      <c r="K191" s="78">
        <f>K189+2*(K194-K189)/5</f>
        <v>1.3242</v>
      </c>
      <c r="L191" s="4"/>
      <c r="M191" s="24">
        <v>84</v>
      </c>
      <c r="N191" s="24">
        <f>+N187+4*(N192-N187)/5</f>
        <v>0.91400000000000003</v>
      </c>
      <c r="O191" s="4"/>
      <c r="P191" s="1"/>
      <c r="Q191" s="2"/>
      <c r="R191" s="2"/>
      <c r="S191" s="2"/>
      <c r="T191" s="2"/>
      <c r="U191" s="2"/>
      <c r="V191" s="1"/>
      <c r="W191" s="1"/>
      <c r="X191" s="1"/>
      <c r="Y191" s="1"/>
      <c r="Z191" s="1"/>
      <c r="AA191" s="1"/>
      <c r="AB191" s="1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1"/>
      <c r="BY191" s="1"/>
      <c r="BZ191" s="1"/>
      <c r="CA191" s="1"/>
      <c r="CB191" s="1"/>
      <c r="CC191" s="1"/>
      <c r="CD191" s="3"/>
      <c r="CE191" s="3"/>
      <c r="CF191" s="1"/>
      <c r="CG191" s="1"/>
      <c r="CH191" s="3"/>
      <c r="CI191" s="3"/>
    </row>
    <row r="192" spans="4:87">
      <c r="D192" s="4"/>
      <c r="E192" s="4"/>
      <c r="F192" s="4"/>
      <c r="G192" s="4"/>
      <c r="H192" s="24">
        <v>78</v>
      </c>
      <c r="I192" s="24">
        <f>I189+3*(I194-I189)/5</f>
        <v>1.4068000000000001</v>
      </c>
      <c r="J192" s="24">
        <f>J189+3*(J194-J189)/5</f>
        <v>1.3768</v>
      </c>
      <c r="K192" s="78">
        <f>K189+3*(K194-K189)/5</f>
        <v>1.3457999999999999</v>
      </c>
      <c r="L192" s="4"/>
      <c r="M192" s="24">
        <v>85</v>
      </c>
      <c r="N192" s="24">
        <v>0.92</v>
      </c>
      <c r="O192" s="4"/>
      <c r="P192" s="1"/>
      <c r="Q192" s="2"/>
      <c r="R192" s="2"/>
      <c r="S192" s="2"/>
      <c r="T192" s="2"/>
      <c r="U192" s="2"/>
      <c r="V192" s="1"/>
      <c r="W192" s="1"/>
      <c r="X192" s="1"/>
      <c r="Y192" s="1"/>
      <c r="Z192" s="1"/>
      <c r="AA192" s="1"/>
      <c r="AB192" s="1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1"/>
      <c r="BY192" s="1"/>
      <c r="BZ192" s="1"/>
      <c r="CA192" s="1"/>
      <c r="CB192" s="1"/>
      <c r="CC192" s="1"/>
      <c r="CD192" s="3"/>
      <c r="CE192" s="3"/>
      <c r="CF192" s="1"/>
      <c r="CG192" s="1"/>
      <c r="CH192" s="3"/>
      <c r="CI192" s="3"/>
    </row>
    <row r="193" spans="4:87">
      <c r="D193" s="4"/>
      <c r="E193" s="4"/>
      <c r="F193" s="4"/>
      <c r="G193" s="4"/>
      <c r="H193" s="24">
        <v>79</v>
      </c>
      <c r="I193" s="24">
        <f>I189+4*(I194-I189)/5</f>
        <v>1.4283999999999999</v>
      </c>
      <c r="J193" s="24">
        <f>J189+4*(J194-J189)/5</f>
        <v>1.3983999999999999</v>
      </c>
      <c r="K193" s="78">
        <f>K189+4*(K194-K189)/5</f>
        <v>1.3673999999999999</v>
      </c>
      <c r="L193" s="4"/>
      <c r="M193" s="24">
        <v>86</v>
      </c>
      <c r="N193" s="24">
        <f>+N192+(N197-N192)/5</f>
        <v>0.92559999999999998</v>
      </c>
      <c r="O193" s="4"/>
      <c r="P193" s="1"/>
      <c r="Q193" s="2"/>
      <c r="R193" s="2"/>
      <c r="S193" s="2"/>
      <c r="T193" s="2"/>
      <c r="U193" s="2"/>
      <c r="V193" s="1"/>
      <c r="W193" s="1"/>
      <c r="X193" s="1"/>
      <c r="Y193" s="1"/>
      <c r="Z193" s="1"/>
      <c r="AA193" s="1"/>
      <c r="AB193" s="1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1"/>
      <c r="BY193" s="1"/>
      <c r="BZ193" s="1"/>
      <c r="CA193" s="1"/>
      <c r="CB193" s="1"/>
      <c r="CC193" s="1"/>
      <c r="CD193" s="3"/>
      <c r="CE193" s="3"/>
      <c r="CF193" s="1"/>
      <c r="CG193" s="1"/>
      <c r="CH193" s="3"/>
      <c r="CI193" s="3"/>
    </row>
    <row r="194" spans="4:87">
      <c r="D194" s="4"/>
      <c r="E194" s="4"/>
      <c r="F194" s="4"/>
      <c r="G194" s="4"/>
      <c r="H194" s="24">
        <v>80</v>
      </c>
      <c r="I194" s="24">
        <v>1.45</v>
      </c>
      <c r="J194" s="24">
        <v>1.42</v>
      </c>
      <c r="K194" s="78">
        <v>1.389</v>
      </c>
      <c r="L194" s="4"/>
      <c r="M194" s="24">
        <v>87</v>
      </c>
      <c r="N194" s="24">
        <f>+N192+2*(N197-N192)/5</f>
        <v>0.93120000000000003</v>
      </c>
      <c r="O194" s="4"/>
      <c r="P194" s="1"/>
      <c r="Q194" s="2"/>
      <c r="R194" s="2"/>
      <c r="S194" s="2"/>
      <c r="T194" s="2"/>
      <c r="U194" s="2"/>
      <c r="V194" s="1"/>
      <c r="W194" s="1"/>
      <c r="X194" s="1"/>
      <c r="Y194" s="1"/>
      <c r="Z194" s="1"/>
      <c r="AA194" s="1"/>
      <c r="AB194" s="1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1"/>
      <c r="BY194" s="1"/>
      <c r="BZ194" s="1"/>
      <c r="CA194" s="1"/>
      <c r="CB194" s="1"/>
      <c r="CC194" s="1"/>
      <c r="CD194" s="3"/>
      <c r="CE194" s="3"/>
      <c r="CF194" s="1"/>
      <c r="CG194" s="1"/>
      <c r="CH194" s="3"/>
      <c r="CI194" s="3"/>
    </row>
    <row r="195" spans="4:87">
      <c r="D195" s="4"/>
      <c r="E195" s="4"/>
      <c r="F195" s="4"/>
      <c r="G195" s="4"/>
      <c r="H195" s="24">
        <v>81</v>
      </c>
      <c r="I195" s="24">
        <f>I194+(I199-I194)/5</f>
        <v>1.472</v>
      </c>
      <c r="J195" s="24">
        <f>J194+(J199-J194)/5</f>
        <v>1.4419999999999999</v>
      </c>
      <c r="K195" s="78">
        <f>K194+(K199-K194)/5</f>
        <v>1.411</v>
      </c>
      <c r="L195" s="4"/>
      <c r="M195" s="24">
        <v>88</v>
      </c>
      <c r="N195" s="24">
        <f>+N192+3*(N197-N192)/5</f>
        <v>0.93679999999999997</v>
      </c>
      <c r="O195" s="4"/>
      <c r="P195" s="1"/>
      <c r="Q195" s="2"/>
      <c r="R195" s="2"/>
      <c r="S195" s="2"/>
      <c r="T195" s="2"/>
      <c r="U195" s="2"/>
      <c r="V195" s="1"/>
      <c r="W195" s="1"/>
      <c r="X195" s="1"/>
      <c r="Y195" s="1"/>
      <c r="Z195" s="1"/>
      <c r="AA195" s="1"/>
      <c r="AB195" s="1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1"/>
      <c r="BY195" s="1"/>
      <c r="BZ195" s="1"/>
      <c r="CA195" s="1"/>
      <c r="CB195" s="1"/>
      <c r="CC195" s="1"/>
      <c r="CD195" s="3"/>
      <c r="CE195" s="3"/>
      <c r="CF195" s="1"/>
      <c r="CG195" s="1"/>
      <c r="CH195" s="3"/>
      <c r="CI195" s="3"/>
    </row>
    <row r="196" spans="4:87">
      <c r="D196" s="4"/>
      <c r="E196" s="4"/>
      <c r="F196" s="4"/>
      <c r="G196" s="4"/>
      <c r="H196" s="24">
        <v>82</v>
      </c>
      <c r="I196" s="24">
        <f>I194+2*(I199-I194)/5</f>
        <v>1.494</v>
      </c>
      <c r="J196" s="24">
        <f>J194+2*(J199-J194)/5</f>
        <v>1.464</v>
      </c>
      <c r="K196" s="78">
        <f>K194+2*(K199-K194)/5</f>
        <v>1.4330000000000001</v>
      </c>
      <c r="L196" s="4"/>
      <c r="M196" s="24">
        <v>89</v>
      </c>
      <c r="N196" s="24">
        <f>+N192+4*(N197-N192)/5</f>
        <v>0.94240000000000002</v>
      </c>
      <c r="O196" s="4"/>
      <c r="P196" s="1"/>
      <c r="Q196" s="2"/>
      <c r="R196" s="2"/>
      <c r="S196" s="2"/>
      <c r="T196" s="2"/>
      <c r="U196" s="2"/>
      <c r="V196" s="1"/>
      <c r="W196" s="1"/>
      <c r="X196" s="1"/>
      <c r="Y196" s="1"/>
      <c r="Z196" s="1"/>
      <c r="AA196" s="1"/>
      <c r="AB196" s="1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1"/>
      <c r="BY196" s="1"/>
      <c r="BZ196" s="1"/>
      <c r="CA196" s="1"/>
      <c r="CB196" s="1"/>
      <c r="CC196" s="1"/>
      <c r="CD196" s="3"/>
      <c r="CE196" s="3"/>
      <c r="CF196" s="1"/>
      <c r="CG196" s="1"/>
      <c r="CH196" s="3"/>
      <c r="CI196" s="3"/>
    </row>
    <row r="197" spans="4:87">
      <c r="D197" s="4"/>
      <c r="E197" s="4"/>
      <c r="F197" s="4"/>
      <c r="G197" s="4"/>
      <c r="H197" s="24">
        <v>83</v>
      </c>
      <c r="I197" s="24">
        <f>I194+3*(I199-I194)/5</f>
        <v>1.516</v>
      </c>
      <c r="J197" s="24">
        <f>J194+3*(J199-J194)/5</f>
        <v>1.486</v>
      </c>
      <c r="K197" s="78">
        <f>K194+3*(K199-K194)/5</f>
        <v>1.4550000000000001</v>
      </c>
      <c r="L197" s="4"/>
      <c r="M197" s="24">
        <v>90</v>
      </c>
      <c r="N197" s="24">
        <v>0.94799999999999995</v>
      </c>
      <c r="O197" s="4"/>
      <c r="P197" s="1"/>
      <c r="Q197" s="2"/>
      <c r="R197" s="2"/>
      <c r="S197" s="2"/>
      <c r="T197" s="2"/>
      <c r="U197" s="2"/>
      <c r="V197" s="1"/>
      <c r="W197" s="1"/>
      <c r="X197" s="1"/>
      <c r="Y197" s="1"/>
      <c r="Z197" s="1"/>
      <c r="AA197" s="1"/>
      <c r="AB197" s="1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1"/>
      <c r="BY197" s="1"/>
      <c r="BZ197" s="1"/>
      <c r="CA197" s="1"/>
      <c r="CB197" s="1"/>
      <c r="CC197" s="1"/>
      <c r="CD197" s="3"/>
      <c r="CE197" s="3"/>
      <c r="CF197" s="1"/>
      <c r="CG197" s="1"/>
      <c r="CH197" s="3"/>
      <c r="CI197" s="3"/>
    </row>
    <row r="198" spans="4:87">
      <c r="D198" s="4"/>
      <c r="E198" s="4"/>
      <c r="F198" s="4"/>
      <c r="G198" s="4"/>
      <c r="H198" s="24">
        <v>84</v>
      </c>
      <c r="I198" s="24">
        <f>I194+4*(I199-I194)/5</f>
        <v>1.538</v>
      </c>
      <c r="J198" s="24">
        <f>J194+4*(J199-J194)/5</f>
        <v>1.508</v>
      </c>
      <c r="K198" s="78">
        <f>K194+4*(K199-K194)/5</f>
        <v>1.4770000000000001</v>
      </c>
      <c r="L198" s="4"/>
      <c r="M198" s="24">
        <v>91</v>
      </c>
      <c r="N198" s="24">
        <f>+N197+(N202-N197)/5</f>
        <v>0.95339999999999991</v>
      </c>
      <c r="O198" s="4"/>
      <c r="P198" s="1"/>
      <c r="Q198" s="2"/>
      <c r="R198" s="2"/>
      <c r="S198" s="2"/>
      <c r="T198" s="2"/>
      <c r="U198" s="2"/>
      <c r="V198" s="1"/>
      <c r="W198" s="1"/>
      <c r="X198" s="1"/>
      <c r="Y198" s="1"/>
      <c r="Z198" s="1"/>
      <c r="AA198" s="1"/>
      <c r="AB198" s="1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1"/>
      <c r="BY198" s="1"/>
      <c r="BZ198" s="1"/>
      <c r="CA198" s="1"/>
      <c r="CB198" s="1"/>
      <c r="CC198" s="1"/>
      <c r="CD198" s="3"/>
      <c r="CE198" s="3"/>
      <c r="CF198" s="1"/>
      <c r="CG198" s="1"/>
      <c r="CH198" s="3"/>
      <c r="CI198" s="3"/>
    </row>
    <row r="199" spans="4:87">
      <c r="D199" s="4"/>
      <c r="E199" s="4"/>
      <c r="F199" s="4"/>
      <c r="G199" s="4"/>
      <c r="H199" s="24">
        <v>85</v>
      </c>
      <c r="I199" s="24">
        <v>1.56</v>
      </c>
      <c r="J199" s="24">
        <v>1.53</v>
      </c>
      <c r="K199" s="78">
        <v>1.4990000000000001</v>
      </c>
      <c r="L199" s="4"/>
      <c r="M199" s="24">
        <v>92</v>
      </c>
      <c r="N199" s="24">
        <f>+N197+2*(N202-N197)/5</f>
        <v>0.95879999999999999</v>
      </c>
      <c r="O199" s="4"/>
      <c r="P199" s="1"/>
      <c r="Q199" s="2"/>
      <c r="R199" s="2"/>
      <c r="S199" s="2"/>
      <c r="T199" s="2"/>
      <c r="U199" s="2"/>
      <c r="V199" s="1"/>
      <c r="W199" s="1"/>
      <c r="X199" s="1"/>
      <c r="Y199" s="1"/>
      <c r="Z199" s="1"/>
      <c r="AA199" s="1"/>
      <c r="AB199" s="1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1"/>
      <c r="BY199" s="1"/>
      <c r="BZ199" s="1"/>
      <c r="CA199" s="1"/>
      <c r="CB199" s="1"/>
      <c r="CC199" s="1"/>
      <c r="CD199" s="3"/>
      <c r="CE199" s="3"/>
      <c r="CF199" s="1"/>
      <c r="CG199" s="1"/>
      <c r="CH199" s="3"/>
      <c r="CI199" s="3"/>
    </row>
    <row r="200" spans="4:87">
      <c r="D200" s="4"/>
      <c r="E200" s="4"/>
      <c r="F200" s="4"/>
      <c r="G200" s="4"/>
      <c r="H200" s="24">
        <v>86</v>
      </c>
      <c r="I200" s="24">
        <f>I199+(I204-I199)/5</f>
        <v>1.5826</v>
      </c>
      <c r="J200" s="24">
        <f>J199+(J204-J199)/5</f>
        <v>1.5524</v>
      </c>
      <c r="K200" s="78">
        <f>K199+(K204-K199)/5</f>
        <v>1.5212000000000001</v>
      </c>
      <c r="L200" s="4"/>
      <c r="M200" s="24">
        <v>93</v>
      </c>
      <c r="N200" s="24">
        <f>+N197+3*(N202-N197)/5</f>
        <v>0.96419999999999995</v>
      </c>
      <c r="O200" s="4"/>
      <c r="P200" s="1"/>
      <c r="Q200" s="2"/>
      <c r="R200" s="2"/>
      <c r="S200" s="2"/>
      <c r="T200" s="2"/>
      <c r="U200" s="2"/>
      <c r="V200" s="1"/>
      <c r="W200" s="1"/>
      <c r="X200" s="1"/>
      <c r="Y200" s="1"/>
      <c r="Z200" s="1"/>
      <c r="AA200" s="1"/>
      <c r="AB200" s="1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1"/>
      <c r="BY200" s="1"/>
      <c r="BZ200" s="1"/>
      <c r="CA200" s="1"/>
      <c r="CB200" s="1"/>
      <c r="CC200" s="1"/>
      <c r="CD200" s="3"/>
      <c r="CE200" s="3"/>
      <c r="CF200" s="1"/>
      <c r="CG200" s="1"/>
      <c r="CH200" s="3"/>
      <c r="CI200" s="3"/>
    </row>
    <row r="201" spans="4:87">
      <c r="D201" s="4"/>
      <c r="E201" s="4"/>
      <c r="F201" s="4"/>
      <c r="G201" s="4"/>
      <c r="H201" s="24">
        <v>87</v>
      </c>
      <c r="I201" s="24">
        <f>I199+2*(I204-I199)/5</f>
        <v>1.6052</v>
      </c>
      <c r="J201" s="24">
        <f>J199+2*(J204-J199)/5</f>
        <v>1.5748</v>
      </c>
      <c r="K201" s="78">
        <f>K199+2*(K204-K199)/5</f>
        <v>1.5434000000000001</v>
      </c>
      <c r="L201" s="4"/>
      <c r="M201" s="24">
        <v>94</v>
      </c>
      <c r="N201" s="24">
        <f>+N197+4*(N202-N197)/5</f>
        <v>0.96960000000000002</v>
      </c>
      <c r="O201" s="4"/>
      <c r="P201" s="1"/>
      <c r="Q201" s="2"/>
      <c r="R201" s="2"/>
      <c r="S201" s="2"/>
      <c r="T201" s="2"/>
      <c r="U201" s="2"/>
      <c r="V201" s="1"/>
      <c r="W201" s="1"/>
      <c r="X201" s="1"/>
      <c r="Y201" s="1"/>
      <c r="Z201" s="1"/>
      <c r="AA201" s="1"/>
      <c r="AB201" s="1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1"/>
      <c r="BY201" s="1"/>
      <c r="BZ201" s="1"/>
      <c r="CA201" s="1"/>
      <c r="CB201" s="1"/>
      <c r="CC201" s="1"/>
      <c r="CD201" s="3"/>
      <c r="CE201" s="3"/>
      <c r="CF201" s="1"/>
      <c r="CG201" s="1"/>
      <c r="CH201" s="3"/>
      <c r="CI201" s="3"/>
    </row>
    <row r="202" spans="4:87">
      <c r="D202" s="4"/>
      <c r="E202" s="4"/>
      <c r="F202" s="4"/>
      <c r="G202" s="4"/>
      <c r="H202" s="24">
        <v>88</v>
      </c>
      <c r="I202" s="24">
        <f>I199+3*(I204-I199)/5</f>
        <v>1.6278000000000001</v>
      </c>
      <c r="J202" s="24">
        <f>J199+3*(J204-J199)/5</f>
        <v>1.5972</v>
      </c>
      <c r="K202" s="78">
        <f>K199+3*(K204-K199)/5</f>
        <v>1.5656000000000001</v>
      </c>
      <c r="L202" s="4"/>
      <c r="M202" s="24">
        <v>95</v>
      </c>
      <c r="N202" s="24">
        <v>0.97499999999999998</v>
      </c>
      <c r="O202" s="4"/>
      <c r="P202" s="1"/>
      <c r="Q202" s="2"/>
      <c r="R202" s="2"/>
      <c r="S202" s="2"/>
      <c r="T202" s="2"/>
      <c r="U202" s="2"/>
      <c r="V202" s="1"/>
      <c r="W202" s="1"/>
      <c r="X202" s="1"/>
      <c r="Y202" s="1"/>
      <c r="Z202" s="1"/>
      <c r="AA202" s="1"/>
      <c r="AB202" s="1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1"/>
      <c r="BY202" s="1"/>
      <c r="BZ202" s="1"/>
      <c r="CA202" s="1"/>
      <c r="CB202" s="1"/>
      <c r="CC202" s="1"/>
      <c r="CD202" s="3"/>
      <c r="CE202" s="3"/>
      <c r="CF202" s="1"/>
      <c r="CG202" s="1"/>
      <c r="CH202" s="3"/>
      <c r="CI202" s="3"/>
    </row>
    <row r="203" spans="4:87">
      <c r="D203" s="4"/>
      <c r="E203" s="4"/>
      <c r="F203" s="4"/>
      <c r="G203" s="4"/>
      <c r="H203" s="24">
        <v>89</v>
      </c>
      <c r="I203" s="24">
        <f>I199+4*(I204-I199)/5</f>
        <v>1.6504000000000001</v>
      </c>
      <c r="J203" s="24">
        <f>J199+4*(J204-J199)/5</f>
        <v>1.6195999999999999</v>
      </c>
      <c r="K203" s="78">
        <f>K199+4*(K204-K199)/5</f>
        <v>1.5878000000000001</v>
      </c>
      <c r="L203" s="4"/>
      <c r="M203" s="24">
        <v>96</v>
      </c>
      <c r="N203" s="24">
        <f>+N202+(N207-N202)/5</f>
        <v>0.98</v>
      </c>
      <c r="O203" s="4"/>
      <c r="P203" s="1"/>
      <c r="Q203" s="2"/>
      <c r="R203" s="2"/>
      <c r="S203" s="2"/>
      <c r="T203" s="2"/>
      <c r="U203" s="2"/>
      <c r="V203" s="1"/>
      <c r="W203" s="1"/>
      <c r="X203" s="1"/>
      <c r="Y203" s="1"/>
      <c r="Z203" s="1"/>
      <c r="AA203" s="1"/>
      <c r="AB203" s="1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1"/>
      <c r="BY203" s="1"/>
      <c r="BZ203" s="1"/>
      <c r="CA203" s="1"/>
      <c r="CB203" s="1"/>
      <c r="CC203" s="1"/>
      <c r="CD203" s="3"/>
      <c r="CE203" s="3"/>
      <c r="CF203" s="1"/>
      <c r="CG203" s="1"/>
      <c r="CH203" s="3"/>
      <c r="CI203" s="3"/>
    </row>
    <row r="204" spans="4:87">
      <c r="D204" s="4"/>
      <c r="E204" s="4"/>
      <c r="F204" s="4"/>
      <c r="G204" s="4"/>
      <c r="H204" s="24">
        <v>90</v>
      </c>
      <c r="I204" s="24">
        <v>1.673</v>
      </c>
      <c r="J204" s="24">
        <v>1.6419999999999999</v>
      </c>
      <c r="K204" s="78">
        <v>1.61</v>
      </c>
      <c r="L204" s="4"/>
      <c r="M204" s="24">
        <v>97</v>
      </c>
      <c r="N204" s="24">
        <f>+N202+2*(N207-N202)/5</f>
        <v>0.98499999999999999</v>
      </c>
      <c r="O204" s="4"/>
      <c r="P204" s="1"/>
      <c r="Q204" s="2"/>
      <c r="R204" s="2"/>
      <c r="S204" s="2"/>
      <c r="T204" s="2"/>
      <c r="U204" s="2"/>
      <c r="V204" s="1"/>
      <c r="W204" s="1"/>
      <c r="X204" s="1"/>
      <c r="Y204" s="1"/>
      <c r="Z204" s="1"/>
      <c r="AA204" s="1"/>
      <c r="AB204" s="1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1"/>
      <c r="BY204" s="1"/>
      <c r="BZ204" s="1"/>
      <c r="CA204" s="1"/>
      <c r="CB204" s="1"/>
      <c r="CC204" s="1"/>
      <c r="CD204" s="3"/>
      <c r="CE204" s="3"/>
      <c r="CF204" s="1"/>
      <c r="CG204" s="1"/>
      <c r="CH204" s="3"/>
      <c r="CI204" s="3"/>
    </row>
    <row r="205" spans="4:87">
      <c r="D205" s="4"/>
      <c r="E205" s="4"/>
      <c r="F205" s="4"/>
      <c r="G205" s="4"/>
      <c r="H205" s="24">
        <v>91</v>
      </c>
      <c r="I205" s="24">
        <f>I204+(I209-I204)/5</f>
        <v>1.6966000000000001</v>
      </c>
      <c r="J205" s="24">
        <f>J204+(J209-J204)/5</f>
        <v>1.6652</v>
      </c>
      <c r="K205" s="78">
        <f>K204+(K209-K204)/5</f>
        <v>1.6328</v>
      </c>
      <c r="L205" s="4"/>
      <c r="M205" s="24">
        <v>98</v>
      </c>
      <c r="N205" s="24">
        <f>+N202+3*(N207-N202)/5</f>
        <v>0.99</v>
      </c>
      <c r="O205" s="4"/>
      <c r="P205" s="1"/>
      <c r="Q205" s="2"/>
      <c r="R205" s="2"/>
      <c r="S205" s="2"/>
      <c r="T205" s="2"/>
      <c r="U205" s="2"/>
      <c r="V205" s="1"/>
      <c r="W205" s="1"/>
      <c r="X205" s="1"/>
      <c r="Y205" s="1"/>
      <c r="Z205" s="1"/>
      <c r="AA205" s="1"/>
      <c r="AB205" s="1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1"/>
      <c r="BY205" s="1"/>
      <c r="BZ205" s="1"/>
      <c r="CA205" s="1"/>
      <c r="CB205" s="1"/>
      <c r="CC205" s="1"/>
      <c r="CD205" s="3"/>
      <c r="CE205" s="3"/>
      <c r="CF205" s="1"/>
      <c r="CG205" s="1"/>
      <c r="CH205" s="3"/>
      <c r="CI205" s="3"/>
    </row>
    <row r="206" spans="4:87">
      <c r="D206" s="4"/>
      <c r="E206" s="4"/>
      <c r="F206" s="4"/>
      <c r="G206" s="4"/>
      <c r="H206" s="24">
        <v>92</v>
      </c>
      <c r="I206" s="24">
        <f>I204+2*(I209-I204)/5</f>
        <v>1.7202</v>
      </c>
      <c r="J206" s="24">
        <f>J204+2*(J209-J204)/5</f>
        <v>1.6883999999999999</v>
      </c>
      <c r="K206" s="78">
        <f>K204+2*(K209-K204)/5</f>
        <v>1.6556</v>
      </c>
      <c r="L206" s="4"/>
      <c r="M206" s="24">
        <v>99</v>
      </c>
      <c r="N206" s="24">
        <f>+N202+4*(N207-N202)/5</f>
        <v>0.995</v>
      </c>
      <c r="O206" s="4"/>
      <c r="P206" s="1"/>
      <c r="Q206" s="2"/>
      <c r="R206" s="2"/>
      <c r="S206" s="2"/>
      <c r="T206" s="2"/>
      <c r="U206" s="2"/>
      <c r="V206" s="1"/>
      <c r="W206" s="1"/>
      <c r="X206" s="1"/>
      <c r="Y206" s="1"/>
      <c r="Z206" s="1"/>
      <c r="AA206" s="1"/>
      <c r="AB206" s="1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1"/>
      <c r="BY206" s="1"/>
      <c r="BZ206" s="1"/>
      <c r="CA206" s="1"/>
      <c r="CB206" s="1"/>
      <c r="CC206" s="1"/>
      <c r="CD206" s="3"/>
      <c r="CE206" s="3"/>
      <c r="CF206" s="1"/>
      <c r="CG206" s="1"/>
      <c r="CH206" s="3"/>
      <c r="CI206" s="3"/>
    </row>
    <row r="207" spans="4:87">
      <c r="D207" s="4"/>
      <c r="E207" s="4"/>
      <c r="F207" s="4"/>
      <c r="G207" s="4"/>
      <c r="H207" s="24">
        <v>93</v>
      </c>
      <c r="I207" s="24">
        <f>I204+3*(I209-I204)/5</f>
        <v>1.7438</v>
      </c>
      <c r="J207" s="24">
        <f>J204+3*(J209-J204)/5</f>
        <v>1.7116</v>
      </c>
      <c r="K207" s="78">
        <f>K204+3*(K209-K204)/5</f>
        <v>1.6784000000000001</v>
      </c>
      <c r="L207" s="4"/>
      <c r="M207" s="24">
        <v>100</v>
      </c>
      <c r="N207" s="24">
        <v>1</v>
      </c>
      <c r="O207" s="4"/>
      <c r="P207" s="1"/>
      <c r="Q207" s="2"/>
      <c r="R207" s="2"/>
      <c r="S207" s="2"/>
      <c r="T207" s="2"/>
      <c r="U207" s="2"/>
      <c r="V207" s="1"/>
      <c r="W207" s="1"/>
      <c r="X207" s="1"/>
      <c r="Y207" s="1"/>
      <c r="Z207" s="1"/>
      <c r="AA207" s="1"/>
      <c r="AB207" s="1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1"/>
      <c r="BY207" s="1"/>
      <c r="BZ207" s="1"/>
      <c r="CA207" s="1"/>
      <c r="CB207" s="1"/>
      <c r="CC207" s="1"/>
      <c r="CD207" s="3"/>
      <c r="CE207" s="3"/>
      <c r="CF207" s="1"/>
      <c r="CG207" s="1"/>
      <c r="CH207" s="3"/>
      <c r="CI207" s="3"/>
    </row>
    <row r="208" spans="4:87">
      <c r="D208" s="4"/>
      <c r="E208" s="4"/>
      <c r="F208" s="4"/>
      <c r="G208" s="4"/>
      <c r="H208" s="24">
        <v>94</v>
      </c>
      <c r="I208" s="24">
        <f>I204+4*(I209-I204)/5</f>
        <v>1.7673999999999999</v>
      </c>
      <c r="J208" s="24">
        <f>J204+4*(J209-J204)/5</f>
        <v>1.7347999999999999</v>
      </c>
      <c r="K208" s="78">
        <f>K204+4*(K209-K204)/5</f>
        <v>1.7012</v>
      </c>
      <c r="L208" s="4"/>
      <c r="M208" s="24">
        <v>101</v>
      </c>
      <c r="N208" s="24">
        <f>+N207+(N212-N207)/5</f>
        <v>1.0056</v>
      </c>
      <c r="O208" s="4"/>
      <c r="P208" s="1"/>
      <c r="Q208" s="2"/>
      <c r="R208" s="2"/>
      <c r="S208" s="2"/>
      <c r="T208" s="2"/>
      <c r="U208" s="2"/>
      <c r="V208" s="1"/>
      <c r="W208" s="1"/>
      <c r="X208" s="1"/>
      <c r="Y208" s="1"/>
      <c r="Z208" s="1"/>
      <c r="AA208" s="1"/>
      <c r="AB208" s="1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1"/>
      <c r="BY208" s="1"/>
      <c r="BZ208" s="1"/>
      <c r="CA208" s="1"/>
      <c r="CB208" s="1"/>
      <c r="CC208" s="1"/>
      <c r="CD208" s="3"/>
      <c r="CE208" s="3"/>
      <c r="CF208" s="1"/>
      <c r="CG208" s="1"/>
      <c r="CH208" s="3"/>
      <c r="CI208" s="3"/>
    </row>
    <row r="209" spans="4:87">
      <c r="D209" s="4"/>
      <c r="E209" s="4"/>
      <c r="F209" s="4"/>
      <c r="G209" s="4"/>
      <c r="H209" s="24">
        <v>95</v>
      </c>
      <c r="I209" s="24">
        <v>1.7909999999999999</v>
      </c>
      <c r="J209" s="24">
        <v>1.758</v>
      </c>
      <c r="K209" s="78">
        <v>1.724</v>
      </c>
      <c r="L209" s="4"/>
      <c r="M209" s="24">
        <v>102</v>
      </c>
      <c r="N209" s="24">
        <f>+N207+2*(N212-N207)/5</f>
        <v>1.0112000000000001</v>
      </c>
      <c r="O209" s="4"/>
      <c r="P209" s="1"/>
      <c r="Q209" s="2"/>
      <c r="R209" s="2"/>
      <c r="S209" s="2"/>
      <c r="T209" s="2"/>
      <c r="U209" s="2"/>
      <c r="V209" s="1"/>
      <c r="W209" s="1"/>
      <c r="X209" s="1"/>
      <c r="Y209" s="1"/>
      <c r="Z209" s="1"/>
      <c r="AA209" s="1"/>
      <c r="AB209" s="1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1"/>
      <c r="BY209" s="1"/>
      <c r="BZ209" s="1"/>
      <c r="CA209" s="1"/>
      <c r="CB209" s="1"/>
      <c r="CC209" s="1"/>
      <c r="CD209" s="3"/>
      <c r="CE209" s="3"/>
      <c r="CF209" s="1"/>
      <c r="CG209" s="1"/>
      <c r="CH209" s="3"/>
      <c r="CI209" s="3"/>
    </row>
    <row r="210" spans="4:87">
      <c r="D210" s="4"/>
      <c r="E210" s="4"/>
      <c r="F210" s="4"/>
      <c r="G210" s="4"/>
      <c r="H210" s="24">
        <v>96</v>
      </c>
      <c r="I210" s="24">
        <f>I209+(I214-I209)/5</f>
        <v>1.8148</v>
      </c>
      <c r="J210" s="24">
        <f>J209+(J214-J209)/5</f>
        <v>1.7814000000000001</v>
      </c>
      <c r="K210" s="78">
        <f>K209+(K214-K209)/5</f>
        <v>1.7469999999999999</v>
      </c>
      <c r="L210" s="4"/>
      <c r="M210" s="24">
        <v>103</v>
      </c>
      <c r="N210" s="24">
        <f>+N207+3*(N212-N207)/5</f>
        <v>1.0167999999999999</v>
      </c>
      <c r="O210" s="4"/>
      <c r="P210" s="1"/>
      <c r="Q210" s="2"/>
      <c r="R210" s="2"/>
      <c r="S210" s="2"/>
      <c r="T210" s="2"/>
      <c r="U210" s="2"/>
      <c r="V210" s="1"/>
      <c r="W210" s="1"/>
      <c r="X210" s="1"/>
      <c r="Y210" s="1"/>
      <c r="Z210" s="1"/>
      <c r="AA210" s="1"/>
      <c r="AB210" s="1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1"/>
      <c r="BY210" s="1"/>
      <c r="BZ210" s="1"/>
      <c r="CA210" s="1"/>
      <c r="CB210" s="1"/>
      <c r="CC210" s="1"/>
      <c r="CD210" s="3"/>
      <c r="CE210" s="3"/>
      <c r="CF210" s="1"/>
      <c r="CG210" s="1"/>
      <c r="CH210" s="3"/>
      <c r="CI210" s="3"/>
    </row>
    <row r="211" spans="4:87">
      <c r="D211" s="4"/>
      <c r="E211" s="4"/>
      <c r="F211" s="4"/>
      <c r="G211" s="4"/>
      <c r="H211" s="24">
        <v>97</v>
      </c>
      <c r="I211" s="24">
        <f>I209+2*(I214-I209)/5</f>
        <v>1.8386</v>
      </c>
      <c r="J211" s="24">
        <f>J209+2*(J214-J209)/5</f>
        <v>1.8048</v>
      </c>
      <c r="K211" s="78">
        <f>K209+2*(K214-K209)/5</f>
        <v>1.77</v>
      </c>
      <c r="L211" s="4"/>
      <c r="M211" s="24">
        <v>104</v>
      </c>
      <c r="N211" s="24">
        <f>+N207+4*(N212-N207)/5</f>
        <v>1.0224</v>
      </c>
      <c r="O211" s="4"/>
      <c r="P211" s="1"/>
      <c r="Q211" s="2"/>
      <c r="R211" s="2"/>
      <c r="S211" s="2"/>
      <c r="T211" s="2"/>
      <c r="U211" s="2"/>
      <c r="V211" s="1"/>
      <c r="W211" s="1"/>
      <c r="X211" s="1"/>
      <c r="Y211" s="1"/>
      <c r="Z211" s="1"/>
      <c r="AA211" s="1"/>
      <c r="AB211" s="1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1"/>
      <c r="BY211" s="1"/>
      <c r="BZ211" s="1"/>
      <c r="CA211" s="1"/>
      <c r="CB211" s="1"/>
      <c r="CC211" s="1"/>
      <c r="CD211" s="3"/>
      <c r="CE211" s="3"/>
      <c r="CF211" s="1"/>
      <c r="CG211" s="1"/>
      <c r="CH211" s="3"/>
      <c r="CI211" s="3"/>
    </row>
    <row r="212" spans="4:87">
      <c r="D212" s="4"/>
      <c r="E212" s="4"/>
      <c r="F212" s="4"/>
      <c r="G212" s="4"/>
      <c r="H212" s="24">
        <v>98</v>
      </c>
      <c r="I212" s="24">
        <f>I209+3*(I214-I209)/5</f>
        <v>1.8623999999999998</v>
      </c>
      <c r="J212" s="24">
        <f>J209+3*(J214-J209)/5</f>
        <v>1.8282</v>
      </c>
      <c r="K212" s="78">
        <f>K209+3*(K214-K209)/5</f>
        <v>1.7929999999999999</v>
      </c>
      <c r="L212" s="4"/>
      <c r="M212" s="24">
        <v>105</v>
      </c>
      <c r="N212" s="24">
        <v>1.028</v>
      </c>
      <c r="O212" s="4"/>
      <c r="P212" s="1"/>
      <c r="Q212" s="2"/>
      <c r="R212" s="2"/>
      <c r="S212" s="2"/>
      <c r="T212" s="2"/>
      <c r="U212" s="2"/>
      <c r="V212" s="1"/>
      <c r="W212" s="1"/>
      <c r="X212" s="1"/>
      <c r="Y212" s="1"/>
      <c r="Z212" s="1"/>
      <c r="AA212" s="1"/>
      <c r="AB212" s="1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1"/>
      <c r="BY212" s="1"/>
      <c r="BZ212" s="1"/>
      <c r="CA212" s="1"/>
      <c r="CB212" s="1"/>
      <c r="CC212" s="1"/>
      <c r="CD212" s="3"/>
      <c r="CE212" s="3"/>
      <c r="CF212" s="1"/>
      <c r="CG212" s="1"/>
      <c r="CH212" s="3"/>
      <c r="CI212" s="3"/>
    </row>
    <row r="213" spans="4:87">
      <c r="D213" s="4"/>
      <c r="E213" s="4"/>
      <c r="F213" s="4"/>
      <c r="G213" s="4"/>
      <c r="H213" s="24">
        <v>99</v>
      </c>
      <c r="I213" s="24">
        <f>I209+4*(I214-I209)/5</f>
        <v>1.8861999999999999</v>
      </c>
      <c r="J213" s="24">
        <f>J209+4*(J214-J209)/5</f>
        <v>1.8515999999999999</v>
      </c>
      <c r="K213" s="78">
        <f>K209+4*(K214-K209)/5</f>
        <v>1.8160000000000001</v>
      </c>
      <c r="L213" s="4"/>
      <c r="M213" s="24">
        <v>106</v>
      </c>
      <c r="N213" s="24">
        <f>+N212+(N217-N212)/5</f>
        <v>1.0329999999999999</v>
      </c>
      <c r="O213" s="4"/>
      <c r="P213" s="1"/>
      <c r="Q213" s="2"/>
      <c r="R213" s="2"/>
      <c r="S213" s="2"/>
      <c r="T213" s="2"/>
      <c r="U213" s="2"/>
      <c r="V213" s="1"/>
      <c r="W213" s="1"/>
      <c r="X213" s="1"/>
      <c r="Y213" s="1"/>
      <c r="Z213" s="1"/>
      <c r="AA213" s="1"/>
      <c r="AB213" s="1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1"/>
      <c r="BY213" s="1"/>
      <c r="BZ213" s="1"/>
      <c r="CA213" s="1"/>
      <c r="CB213" s="1"/>
      <c r="CC213" s="1"/>
      <c r="CD213" s="3"/>
      <c r="CE213" s="3"/>
      <c r="CF213" s="1"/>
      <c r="CG213" s="1"/>
      <c r="CH213" s="3"/>
      <c r="CI213" s="3"/>
    </row>
    <row r="214" spans="4:87">
      <c r="D214" s="4"/>
      <c r="E214" s="4"/>
      <c r="F214" s="4"/>
      <c r="G214" s="4"/>
      <c r="H214" s="24">
        <v>100</v>
      </c>
      <c r="I214" s="24">
        <v>1.91</v>
      </c>
      <c r="J214" s="24">
        <v>1.875</v>
      </c>
      <c r="K214" s="78">
        <v>1.839</v>
      </c>
      <c r="L214" s="4"/>
      <c r="M214" s="24">
        <v>107</v>
      </c>
      <c r="N214" s="24">
        <f>+N212+2*(N217-N212)/5</f>
        <v>1.038</v>
      </c>
      <c r="O214" s="4"/>
      <c r="P214" s="1"/>
      <c r="Q214" s="2"/>
      <c r="R214" s="2"/>
      <c r="S214" s="2"/>
      <c r="T214" s="2"/>
      <c r="U214" s="2"/>
      <c r="V214" s="1"/>
      <c r="W214" s="1"/>
      <c r="X214" s="1"/>
      <c r="Y214" s="1"/>
      <c r="Z214" s="1"/>
      <c r="AA214" s="1"/>
      <c r="AB214" s="1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1"/>
      <c r="BY214" s="1"/>
      <c r="BZ214" s="1"/>
      <c r="CA214" s="1"/>
      <c r="CB214" s="1"/>
      <c r="CC214" s="1"/>
      <c r="CD214" s="3"/>
      <c r="CE214" s="3"/>
      <c r="CF214" s="1"/>
      <c r="CG214" s="1"/>
      <c r="CH214" s="3"/>
      <c r="CI214" s="3"/>
    </row>
    <row r="215" spans="4:87">
      <c r="D215" s="4"/>
      <c r="E215" s="4"/>
      <c r="F215" s="4"/>
      <c r="G215" s="4"/>
      <c r="H215" s="24">
        <v>101</v>
      </c>
      <c r="I215" s="24">
        <f>I214+(I219-I214)/5</f>
        <v>1.9336</v>
      </c>
      <c r="J215" s="24">
        <f>J214+(J219-J214)/5</f>
        <v>1.8982000000000001</v>
      </c>
      <c r="K215" s="78">
        <f>K214+(K219-K214)/5</f>
        <v>1.8619999999999999</v>
      </c>
      <c r="L215" s="4"/>
      <c r="M215" s="24">
        <v>108</v>
      </c>
      <c r="N215" s="24">
        <f>+N212+3*(N217-N212)/5</f>
        <v>1.0429999999999999</v>
      </c>
      <c r="O215" s="4"/>
      <c r="P215" s="1"/>
      <c r="Q215" s="2"/>
      <c r="R215" s="2"/>
      <c r="S215" s="2"/>
      <c r="T215" s="2"/>
      <c r="U215" s="2"/>
      <c r="V215" s="1"/>
      <c r="W215" s="1"/>
      <c r="X215" s="1"/>
      <c r="Y215" s="1"/>
      <c r="Z215" s="1"/>
      <c r="AA215" s="1"/>
      <c r="AB215" s="1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1"/>
      <c r="BY215" s="1"/>
      <c r="BZ215" s="1"/>
      <c r="CA215" s="1"/>
      <c r="CB215" s="1"/>
      <c r="CC215" s="1"/>
      <c r="CD215" s="3"/>
      <c r="CE215" s="3"/>
      <c r="CF215" s="1"/>
      <c r="CG215" s="1"/>
      <c r="CH215" s="3"/>
      <c r="CI215" s="3"/>
    </row>
    <row r="216" spans="4:87">
      <c r="D216" s="4"/>
      <c r="E216" s="4"/>
      <c r="F216" s="4"/>
      <c r="G216" s="4"/>
      <c r="H216" s="24">
        <v>102</v>
      </c>
      <c r="I216" s="24">
        <f>I214+2*(I219-I214)/5</f>
        <v>1.9572000000000001</v>
      </c>
      <c r="J216" s="24">
        <f>J214+2*(J219-J214)/5</f>
        <v>1.9214</v>
      </c>
      <c r="K216" s="78">
        <f>K214+2*(K219-K214)/5</f>
        <v>1.885</v>
      </c>
      <c r="L216" s="4"/>
      <c r="M216" s="24">
        <v>109</v>
      </c>
      <c r="N216" s="24">
        <f>+N212+4*(N217-N212)/5</f>
        <v>1.048</v>
      </c>
      <c r="O216" s="4"/>
      <c r="P216" s="1"/>
      <c r="Q216" s="2"/>
      <c r="R216" s="2"/>
      <c r="S216" s="2"/>
      <c r="T216" s="2"/>
      <c r="U216" s="2"/>
      <c r="V216" s="1"/>
      <c r="W216" s="1"/>
      <c r="X216" s="1"/>
      <c r="Y216" s="1"/>
      <c r="Z216" s="1"/>
      <c r="AA216" s="1"/>
      <c r="AB216" s="1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1"/>
      <c r="BY216" s="1"/>
      <c r="BZ216" s="1"/>
      <c r="CA216" s="1"/>
      <c r="CB216" s="1"/>
      <c r="CC216" s="1"/>
      <c r="CD216" s="3"/>
      <c r="CE216" s="3"/>
      <c r="CF216" s="1"/>
      <c r="CG216" s="1"/>
      <c r="CH216" s="3"/>
      <c r="CI216" s="3"/>
    </row>
    <row r="217" spans="4:87">
      <c r="D217" s="4"/>
      <c r="E217" s="4"/>
      <c r="F217" s="4"/>
      <c r="G217" s="4"/>
      <c r="H217" s="24">
        <v>103</v>
      </c>
      <c r="I217" s="24">
        <f>I214+3*(I219-I214)/5</f>
        <v>1.9807999999999999</v>
      </c>
      <c r="J217" s="24">
        <f>J214+3*(J219-J214)/5</f>
        <v>1.9446000000000001</v>
      </c>
      <c r="K217" s="78">
        <f>K214+3*(K219-K214)/5</f>
        <v>1.9079999999999999</v>
      </c>
      <c r="L217" s="4"/>
      <c r="M217" s="24">
        <v>110</v>
      </c>
      <c r="N217" s="24">
        <v>1.0529999999999999</v>
      </c>
      <c r="O217" s="4"/>
      <c r="P217" s="1"/>
      <c r="Q217" s="2"/>
      <c r="R217" s="2"/>
      <c r="S217" s="2"/>
      <c r="T217" s="2"/>
      <c r="U217" s="2"/>
      <c r="V217" s="1"/>
      <c r="W217" s="1"/>
      <c r="X217" s="1"/>
      <c r="Y217" s="1"/>
      <c r="Z217" s="1"/>
      <c r="AA217" s="1"/>
      <c r="AB217" s="1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1"/>
      <c r="BY217" s="1"/>
      <c r="BZ217" s="1"/>
      <c r="CA217" s="1"/>
      <c r="CB217" s="1"/>
      <c r="CC217" s="1"/>
      <c r="CD217" s="3"/>
      <c r="CE217" s="3"/>
      <c r="CF217" s="1"/>
      <c r="CG217" s="1"/>
      <c r="CH217" s="3"/>
      <c r="CI217" s="3"/>
    </row>
    <row r="218" spans="4:87">
      <c r="D218" s="4"/>
      <c r="E218" s="4"/>
      <c r="F218" s="4"/>
      <c r="G218" s="4"/>
      <c r="H218" s="24">
        <v>104</v>
      </c>
      <c r="I218" s="24">
        <f>I214+4*(I219-I214)/5</f>
        <v>2.0044</v>
      </c>
      <c r="J218" s="24">
        <f>J214+4*(J219-J214)/5</f>
        <v>1.9678</v>
      </c>
      <c r="K218" s="78">
        <f>K214+4*(K219-K214)/5</f>
        <v>1.931</v>
      </c>
      <c r="L218" s="4"/>
      <c r="M218" s="24">
        <v>111</v>
      </c>
      <c r="N218" s="24">
        <f>+N217+(N222-N217)/5</f>
        <v>1.0575999999999999</v>
      </c>
      <c r="O218" s="4"/>
      <c r="P218" s="1"/>
      <c r="Q218" s="2"/>
      <c r="R218" s="2"/>
      <c r="S218" s="2"/>
      <c r="T218" s="2"/>
      <c r="U218" s="2"/>
      <c r="V218" s="1"/>
      <c r="W218" s="1"/>
      <c r="X218" s="1"/>
      <c r="Y218" s="1"/>
      <c r="Z218" s="1"/>
      <c r="AA218" s="1"/>
      <c r="AB218" s="1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1"/>
      <c r="BY218" s="1"/>
      <c r="BZ218" s="1"/>
      <c r="CA218" s="1"/>
      <c r="CB218" s="1"/>
      <c r="CC218" s="1"/>
      <c r="CD218" s="3"/>
      <c r="CE218" s="3"/>
      <c r="CF218" s="1"/>
      <c r="CG218" s="1"/>
      <c r="CH218" s="3"/>
      <c r="CI218" s="3"/>
    </row>
    <row r="219" spans="4:87">
      <c r="D219" s="4"/>
      <c r="E219" s="4"/>
      <c r="F219" s="4"/>
      <c r="G219" s="4"/>
      <c r="H219" s="24">
        <v>105</v>
      </c>
      <c r="I219" s="24">
        <v>2.028</v>
      </c>
      <c r="J219" s="24">
        <v>1.9910000000000001</v>
      </c>
      <c r="K219" s="78">
        <v>1.954</v>
      </c>
      <c r="L219" s="4"/>
      <c r="M219" s="24">
        <v>112</v>
      </c>
      <c r="N219" s="24">
        <f>+N217+2*(N222-N217)/5</f>
        <v>1.0622</v>
      </c>
      <c r="O219" s="4"/>
      <c r="P219" s="1"/>
      <c r="Q219" s="2"/>
      <c r="R219" s="2"/>
      <c r="S219" s="2"/>
      <c r="T219" s="2"/>
      <c r="U219" s="2"/>
      <c r="V219" s="1"/>
      <c r="W219" s="1"/>
      <c r="X219" s="1"/>
      <c r="Y219" s="1"/>
      <c r="Z219" s="1"/>
      <c r="AA219" s="1"/>
      <c r="AB219" s="1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1"/>
      <c r="BY219" s="1"/>
      <c r="BZ219" s="1"/>
      <c r="CA219" s="1"/>
      <c r="CB219" s="1"/>
      <c r="CC219" s="1"/>
      <c r="CD219" s="3"/>
      <c r="CE219" s="3"/>
      <c r="CF219" s="1"/>
      <c r="CG219" s="1"/>
      <c r="CH219" s="3"/>
      <c r="CI219" s="3"/>
    </row>
    <row r="220" spans="4:87">
      <c r="D220" s="4"/>
      <c r="E220" s="4"/>
      <c r="F220" s="4"/>
      <c r="G220" s="4"/>
      <c r="H220" s="24">
        <v>106</v>
      </c>
      <c r="I220" s="24"/>
      <c r="J220" s="24">
        <f>J219+(J224-J219)/5</f>
        <v>2.0144000000000002</v>
      </c>
      <c r="K220" s="78">
        <f>K219+(K224-K219)/5</f>
        <v>1.9769999999999999</v>
      </c>
      <c r="L220" s="4"/>
      <c r="M220" s="24">
        <v>113</v>
      </c>
      <c r="N220" s="24">
        <f>+N217+3*(N222-N217)/5</f>
        <v>1.0668</v>
      </c>
      <c r="O220" s="4"/>
      <c r="P220" s="1"/>
      <c r="Q220" s="2"/>
      <c r="R220" s="2"/>
      <c r="S220" s="2"/>
      <c r="T220" s="2"/>
      <c r="U220" s="2"/>
      <c r="V220" s="1"/>
      <c r="W220" s="1"/>
      <c r="X220" s="1"/>
      <c r="Y220" s="1"/>
      <c r="Z220" s="1"/>
      <c r="AA220" s="1"/>
      <c r="AB220" s="1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1"/>
      <c r="BY220" s="1"/>
      <c r="BZ220" s="1"/>
      <c r="CA220" s="1"/>
      <c r="CB220" s="1"/>
      <c r="CC220" s="1"/>
      <c r="CD220" s="3"/>
      <c r="CE220" s="3"/>
      <c r="CF220" s="1"/>
      <c r="CG220" s="1"/>
      <c r="CH220" s="3"/>
      <c r="CI220" s="3"/>
    </row>
    <row r="221" spans="4:87">
      <c r="D221" s="4"/>
      <c r="E221" s="4"/>
      <c r="F221" s="4"/>
      <c r="G221" s="4"/>
      <c r="H221" s="24">
        <v>107</v>
      </c>
      <c r="I221" s="24"/>
      <c r="J221" s="24">
        <f>J219+2*(J224-J219)/5</f>
        <v>2.0378000000000003</v>
      </c>
      <c r="K221" s="78">
        <f>K219+2*(K224-K219)/5</f>
        <v>2</v>
      </c>
      <c r="L221" s="4"/>
      <c r="M221" s="24">
        <v>114</v>
      </c>
      <c r="N221" s="24">
        <f>+N217+4*(N222-N217)/5</f>
        <v>1.0714000000000001</v>
      </c>
      <c r="O221" s="4"/>
      <c r="P221" s="1"/>
      <c r="Q221" s="2"/>
      <c r="R221" s="2"/>
      <c r="S221" s="2"/>
      <c r="T221" s="2"/>
      <c r="U221" s="2"/>
      <c r="V221" s="1"/>
      <c r="W221" s="1"/>
      <c r="X221" s="1"/>
      <c r="Y221" s="1"/>
      <c r="Z221" s="1"/>
      <c r="AA221" s="1"/>
      <c r="AB221" s="1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1"/>
      <c r="BY221" s="1"/>
      <c r="BZ221" s="1"/>
      <c r="CA221" s="1"/>
      <c r="CB221" s="1"/>
      <c r="CC221" s="1"/>
      <c r="CD221" s="3"/>
      <c r="CE221" s="3"/>
      <c r="CF221" s="1"/>
      <c r="CG221" s="1"/>
      <c r="CH221" s="3"/>
      <c r="CI221" s="3"/>
    </row>
    <row r="222" spans="4:87">
      <c r="D222" s="4"/>
      <c r="E222" s="4"/>
      <c r="F222" s="4"/>
      <c r="G222" s="4"/>
      <c r="H222" s="24">
        <v>108</v>
      </c>
      <c r="I222" s="24"/>
      <c r="J222" s="24">
        <f>J219+3*(J224-J219)/5</f>
        <v>2.0611999999999999</v>
      </c>
      <c r="K222" s="78">
        <f>K219+3*(K224-K219)/5</f>
        <v>2.0230000000000001</v>
      </c>
      <c r="L222" s="4"/>
      <c r="M222" s="24">
        <v>115</v>
      </c>
      <c r="N222" s="24">
        <v>1.0760000000000001</v>
      </c>
      <c r="O222" s="4"/>
      <c r="P222" s="1"/>
      <c r="Q222" s="2"/>
      <c r="R222" s="2"/>
      <c r="S222" s="2"/>
      <c r="T222" s="2"/>
      <c r="U222" s="2"/>
      <c r="V222" s="1"/>
      <c r="W222" s="1"/>
      <c r="X222" s="1"/>
      <c r="Y222" s="1"/>
      <c r="Z222" s="1"/>
      <c r="AA222" s="1"/>
      <c r="AB222" s="1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1"/>
      <c r="BY222" s="1"/>
      <c r="BZ222" s="1"/>
      <c r="CA222" s="1"/>
      <c r="CB222" s="1"/>
      <c r="CC222" s="1"/>
      <c r="CD222" s="3"/>
      <c r="CE222" s="3"/>
      <c r="CF222" s="1"/>
      <c r="CG222" s="1"/>
      <c r="CH222" s="3"/>
      <c r="CI222" s="3"/>
    </row>
    <row r="223" spans="4:87">
      <c r="D223" s="4"/>
      <c r="E223" s="4"/>
      <c r="F223" s="4"/>
      <c r="G223" s="4"/>
      <c r="H223" s="24">
        <v>109</v>
      </c>
      <c r="I223" s="24"/>
      <c r="J223" s="24">
        <f>J219+4*(J224-J219)/5</f>
        <v>2.0846</v>
      </c>
      <c r="K223" s="78">
        <f>K219+4*(K224-K219)/5</f>
        <v>2.0459999999999998</v>
      </c>
      <c r="L223" s="4"/>
      <c r="M223" s="24">
        <v>116</v>
      </c>
      <c r="N223" s="24">
        <f>+N222+(N227-N222)/5</f>
        <v>1.0808</v>
      </c>
      <c r="O223" s="4"/>
      <c r="P223" s="1"/>
      <c r="Q223" s="2"/>
      <c r="R223" s="2"/>
      <c r="S223" s="2"/>
      <c r="T223" s="2"/>
      <c r="U223" s="2"/>
      <c r="V223" s="1"/>
      <c r="W223" s="1"/>
      <c r="X223" s="1"/>
      <c r="Y223" s="1"/>
      <c r="Z223" s="1"/>
      <c r="AA223" s="1"/>
      <c r="AB223" s="1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1"/>
      <c r="BY223" s="1"/>
      <c r="BZ223" s="1"/>
      <c r="CA223" s="1"/>
      <c r="CB223" s="1"/>
      <c r="CC223" s="1"/>
      <c r="CD223" s="3"/>
      <c r="CE223" s="3"/>
      <c r="CF223" s="1"/>
      <c r="CG223" s="1"/>
      <c r="CH223" s="3"/>
      <c r="CI223" s="3"/>
    </row>
    <row r="224" spans="4:87">
      <c r="D224" s="4"/>
      <c r="E224" s="4"/>
      <c r="F224" s="4"/>
      <c r="G224" s="4"/>
      <c r="H224" s="24">
        <v>110</v>
      </c>
      <c r="I224" s="24"/>
      <c r="J224" s="24">
        <v>2.1080000000000001</v>
      </c>
      <c r="K224" s="78">
        <v>2.069</v>
      </c>
      <c r="L224" s="4"/>
      <c r="M224" s="24">
        <v>117</v>
      </c>
      <c r="N224" s="24">
        <f>+N222+2*(N227-N222)/5</f>
        <v>1.0856000000000001</v>
      </c>
      <c r="O224" s="4"/>
      <c r="P224" s="1"/>
      <c r="Q224" s="2"/>
      <c r="R224" s="2"/>
      <c r="S224" s="2"/>
      <c r="T224" s="2"/>
      <c r="U224" s="2"/>
      <c r="V224" s="1"/>
      <c r="W224" s="1"/>
      <c r="X224" s="1"/>
      <c r="Y224" s="1"/>
      <c r="Z224" s="1"/>
      <c r="AA224" s="1"/>
      <c r="AB224" s="1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1"/>
      <c r="BY224" s="1"/>
      <c r="BZ224" s="1"/>
      <c r="CA224" s="1"/>
      <c r="CB224" s="1"/>
      <c r="CC224" s="1"/>
      <c r="CD224" s="3"/>
      <c r="CE224" s="3"/>
      <c r="CF224" s="1"/>
      <c r="CG224" s="1"/>
      <c r="CH224" s="3"/>
      <c r="CI224" s="3"/>
    </row>
    <row r="225" spans="4:87">
      <c r="D225" s="4"/>
      <c r="E225" s="4"/>
      <c r="F225" s="4"/>
      <c r="G225" s="4"/>
      <c r="H225" s="24">
        <v>111</v>
      </c>
      <c r="I225" s="24"/>
      <c r="J225" s="24">
        <f>J224+(J229-J224)/5</f>
        <v>2.1316000000000002</v>
      </c>
      <c r="K225" s="78">
        <f>K224+(K229-K224)/5</f>
        <v>2.0922000000000001</v>
      </c>
      <c r="L225" s="4"/>
      <c r="M225" s="24">
        <v>118</v>
      </c>
      <c r="N225" s="24">
        <f>+N222+3*(N227-N222)/5</f>
        <v>1.0904</v>
      </c>
      <c r="O225" s="4"/>
      <c r="P225" s="1"/>
      <c r="Q225" s="2"/>
      <c r="R225" s="2"/>
      <c r="S225" s="2"/>
      <c r="T225" s="2"/>
      <c r="U225" s="2"/>
      <c r="V225" s="1"/>
      <c r="W225" s="1"/>
      <c r="X225" s="1"/>
      <c r="Y225" s="1"/>
      <c r="Z225" s="1"/>
      <c r="AA225" s="1"/>
      <c r="AB225" s="1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1"/>
      <c r="BY225" s="1"/>
      <c r="BZ225" s="1"/>
      <c r="CA225" s="1"/>
      <c r="CB225" s="1"/>
      <c r="CC225" s="1"/>
      <c r="CD225" s="3"/>
      <c r="CE225" s="3"/>
      <c r="CF225" s="1"/>
      <c r="CG225" s="1"/>
      <c r="CH225" s="3"/>
      <c r="CI225" s="3"/>
    </row>
    <row r="226" spans="4:87">
      <c r="D226" s="4"/>
      <c r="E226" s="4"/>
      <c r="F226" s="4"/>
      <c r="G226" s="4"/>
      <c r="H226" s="24">
        <v>112</v>
      </c>
      <c r="I226" s="24"/>
      <c r="J226" s="24">
        <f>J224+2*(J229-J224)/5</f>
        <v>2.1552000000000002</v>
      </c>
      <c r="K226" s="78">
        <f>K224+2*(K229-K224)/5</f>
        <v>2.1154000000000002</v>
      </c>
      <c r="L226" s="4"/>
      <c r="M226" s="24">
        <v>119</v>
      </c>
      <c r="N226" s="24">
        <f>+N222+4*(N227-N222)/5</f>
        <v>1.0952000000000002</v>
      </c>
      <c r="O226" s="4"/>
      <c r="P226" s="1"/>
      <c r="Q226" s="2"/>
      <c r="R226" s="2"/>
      <c r="S226" s="2"/>
      <c r="T226" s="2"/>
      <c r="U226" s="2"/>
      <c r="V226" s="1"/>
      <c r="W226" s="1"/>
      <c r="X226" s="1"/>
      <c r="Y226" s="1"/>
      <c r="Z226" s="1"/>
      <c r="AA226" s="1"/>
      <c r="AB226" s="1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1"/>
      <c r="BY226" s="1"/>
      <c r="BZ226" s="1"/>
      <c r="CA226" s="1"/>
      <c r="CB226" s="1"/>
      <c r="CC226" s="1"/>
      <c r="CD226" s="3"/>
      <c r="CE226" s="3"/>
      <c r="CF226" s="1"/>
      <c r="CG226" s="1"/>
      <c r="CH226" s="3"/>
      <c r="CI226" s="3"/>
    </row>
    <row r="227" spans="4:87">
      <c r="D227" s="4"/>
      <c r="E227" s="4"/>
      <c r="F227" s="4"/>
      <c r="G227" s="4"/>
      <c r="H227" s="24">
        <v>113</v>
      </c>
      <c r="I227" s="24"/>
      <c r="J227" s="24">
        <f>J224+3*(J229-J224)/5</f>
        <v>2.1787999999999998</v>
      </c>
      <c r="K227" s="78">
        <f>K224+3*(K229-K224)/5</f>
        <v>2.1385999999999998</v>
      </c>
      <c r="L227" s="4"/>
      <c r="M227" s="24">
        <v>120</v>
      </c>
      <c r="N227" s="24">
        <v>1.1000000000000001</v>
      </c>
      <c r="O227" s="4"/>
      <c r="P227" s="1"/>
      <c r="Q227" s="2"/>
      <c r="R227" s="2"/>
      <c r="S227" s="2"/>
      <c r="T227" s="2"/>
      <c r="U227" s="2"/>
      <c r="V227" s="1"/>
      <c r="W227" s="1"/>
      <c r="X227" s="1"/>
      <c r="Y227" s="1"/>
      <c r="Z227" s="1"/>
      <c r="AA227" s="1"/>
      <c r="AB227" s="1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1"/>
      <c r="BY227" s="1"/>
      <c r="BZ227" s="1"/>
      <c r="CA227" s="1"/>
      <c r="CB227" s="1"/>
      <c r="CC227" s="1"/>
      <c r="CD227" s="3"/>
      <c r="CE227" s="3"/>
      <c r="CF227" s="1"/>
      <c r="CG227" s="1"/>
      <c r="CH227" s="3"/>
      <c r="CI227" s="3"/>
    </row>
    <row r="228" spans="4:87">
      <c r="D228" s="4"/>
      <c r="E228" s="4"/>
      <c r="F228" s="4"/>
      <c r="G228" s="4"/>
      <c r="H228" s="24">
        <v>114</v>
      </c>
      <c r="I228" s="24"/>
      <c r="J228" s="24">
        <f>J224+4*(J229-J224)/5</f>
        <v>2.2023999999999999</v>
      </c>
      <c r="K228" s="78">
        <f>K224+4*(K229-K224)/5</f>
        <v>2.1617999999999999</v>
      </c>
      <c r="L228" s="4"/>
      <c r="M228" s="24">
        <v>121</v>
      </c>
      <c r="N228" s="24">
        <f>+N227+(N232-N227)/5</f>
        <v>1.1040000000000001</v>
      </c>
      <c r="O228" s="4"/>
      <c r="P228" s="1"/>
      <c r="Q228" s="2"/>
      <c r="R228" s="2"/>
      <c r="S228" s="2"/>
      <c r="T228" s="2"/>
      <c r="U228" s="2"/>
      <c r="V228" s="1"/>
      <c r="W228" s="1"/>
      <c r="X228" s="1"/>
      <c r="Y228" s="1"/>
      <c r="Z228" s="1"/>
      <c r="AA228" s="1"/>
      <c r="AB228" s="1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1"/>
      <c r="BY228" s="1"/>
      <c r="BZ228" s="1"/>
      <c r="CA228" s="1"/>
      <c r="CB228" s="1"/>
      <c r="CC228" s="1"/>
      <c r="CD228" s="3"/>
      <c r="CE228" s="3"/>
      <c r="CF228" s="1"/>
      <c r="CG228" s="1"/>
      <c r="CH228" s="3"/>
      <c r="CI228" s="3"/>
    </row>
    <row r="229" spans="4:87">
      <c r="D229" s="4"/>
      <c r="E229" s="4"/>
      <c r="F229" s="4"/>
      <c r="G229" s="4"/>
      <c r="H229" s="24">
        <v>115</v>
      </c>
      <c r="I229" s="24"/>
      <c r="J229" s="24">
        <v>2.226</v>
      </c>
      <c r="K229" s="78">
        <v>2.1850000000000001</v>
      </c>
      <c r="L229" s="4"/>
      <c r="M229" s="24">
        <v>122</v>
      </c>
      <c r="N229" s="24">
        <f>+N227+2*(N232-N227)/5</f>
        <v>1.1080000000000001</v>
      </c>
      <c r="O229" s="4"/>
      <c r="P229" s="1"/>
      <c r="Q229" s="2"/>
      <c r="R229" s="2"/>
      <c r="S229" s="2"/>
      <c r="T229" s="2"/>
      <c r="U229" s="2"/>
      <c r="V229" s="1"/>
      <c r="W229" s="1"/>
      <c r="X229" s="1"/>
      <c r="Y229" s="1"/>
      <c r="Z229" s="1"/>
      <c r="AA229" s="1"/>
      <c r="AB229" s="1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1"/>
      <c r="BY229" s="1"/>
      <c r="BZ229" s="1"/>
      <c r="CA229" s="1"/>
      <c r="CB229" s="1"/>
      <c r="CC229" s="1"/>
      <c r="CD229" s="3"/>
      <c r="CE229" s="3"/>
      <c r="CF229" s="1"/>
      <c r="CG229" s="1"/>
      <c r="CH229" s="3"/>
      <c r="CI229" s="3"/>
    </row>
    <row r="230" spans="4:87">
      <c r="D230" s="4"/>
      <c r="E230" s="4"/>
      <c r="F230" s="4"/>
      <c r="G230" s="4"/>
      <c r="H230" s="4"/>
      <c r="I230" s="4"/>
      <c r="J230" s="4"/>
      <c r="K230" s="85"/>
      <c r="L230" s="4"/>
      <c r="M230" s="24">
        <v>123</v>
      </c>
      <c r="N230" s="24">
        <f>+N227+3*(N232-N227)/5</f>
        <v>1.1120000000000001</v>
      </c>
      <c r="O230" s="4"/>
      <c r="P230" s="1"/>
      <c r="Q230" s="2"/>
      <c r="R230" s="2"/>
      <c r="S230" s="2"/>
      <c r="T230" s="2"/>
      <c r="U230" s="2"/>
      <c r="V230" s="1"/>
      <c r="W230" s="1"/>
      <c r="X230" s="1"/>
      <c r="Y230" s="1"/>
      <c r="Z230" s="1"/>
      <c r="AA230" s="1"/>
      <c r="AB230" s="1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1"/>
      <c r="BY230" s="1"/>
      <c r="BZ230" s="1"/>
      <c r="CA230" s="1"/>
      <c r="CB230" s="1"/>
      <c r="CC230" s="1"/>
      <c r="CD230" s="3"/>
      <c r="CE230" s="3"/>
      <c r="CF230" s="1"/>
      <c r="CG230" s="1"/>
      <c r="CH230" s="3"/>
      <c r="CI230" s="3"/>
    </row>
    <row r="231" spans="4:87">
      <c r="D231" s="4"/>
      <c r="E231" s="4"/>
      <c r="F231" s="4"/>
      <c r="G231" s="4"/>
      <c r="H231" s="4"/>
      <c r="I231" s="4"/>
      <c r="J231" s="4"/>
      <c r="K231" s="85"/>
      <c r="L231" s="4"/>
      <c r="M231" s="24">
        <v>124</v>
      </c>
      <c r="N231" s="24">
        <f>+N227+4*(N232-N227)/5</f>
        <v>1.1160000000000001</v>
      </c>
      <c r="O231" s="4"/>
      <c r="P231" s="1"/>
      <c r="Q231" s="2"/>
      <c r="R231" s="2"/>
      <c r="S231" s="2"/>
      <c r="T231" s="2"/>
      <c r="U231" s="2"/>
      <c r="V231" s="1"/>
      <c r="W231" s="1"/>
      <c r="X231" s="1"/>
      <c r="Y231" s="1"/>
      <c r="Z231" s="1"/>
      <c r="AA231" s="1"/>
      <c r="AB231" s="1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1"/>
      <c r="BY231" s="1"/>
      <c r="BZ231" s="1"/>
      <c r="CA231" s="1"/>
      <c r="CB231" s="1"/>
      <c r="CC231" s="1"/>
      <c r="CD231" s="3"/>
      <c r="CE231" s="3"/>
      <c r="CF231" s="1"/>
      <c r="CG231" s="1"/>
      <c r="CH231" s="3"/>
      <c r="CI231" s="3"/>
    </row>
    <row r="232" spans="4:87">
      <c r="D232" s="4"/>
      <c r="E232" s="4"/>
      <c r="F232" s="4"/>
      <c r="G232" s="4"/>
      <c r="H232" s="4"/>
      <c r="I232" s="4"/>
      <c r="J232" s="4"/>
      <c r="K232" s="85"/>
      <c r="L232" s="4"/>
      <c r="M232" s="24">
        <v>125</v>
      </c>
      <c r="N232" s="24">
        <v>1.1200000000000001</v>
      </c>
      <c r="O232" s="4"/>
      <c r="P232" s="1"/>
      <c r="Q232" s="2"/>
      <c r="R232" s="2"/>
      <c r="S232" s="2"/>
      <c r="T232" s="2"/>
      <c r="U232" s="2"/>
      <c r="V232" s="1"/>
      <c r="W232" s="1"/>
      <c r="X232" s="1"/>
      <c r="Y232" s="1"/>
      <c r="Z232" s="1"/>
      <c r="AA232" s="1"/>
      <c r="AB232" s="1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1"/>
      <c r="BY232" s="1"/>
      <c r="BZ232" s="1"/>
      <c r="CA232" s="1"/>
      <c r="CB232" s="1"/>
      <c r="CC232" s="1"/>
      <c r="CD232" s="3"/>
      <c r="CE232" s="3"/>
      <c r="CF232" s="1"/>
      <c r="CG232" s="1"/>
      <c r="CH232" s="3"/>
      <c r="CI232" s="3"/>
    </row>
    <row r="233" spans="4:87">
      <c r="P233" s="1"/>
      <c r="Q233" s="2"/>
      <c r="R233" s="2"/>
      <c r="S233" s="2"/>
      <c r="T233" s="2"/>
      <c r="U233" s="2"/>
      <c r="V233" s="1"/>
      <c r="W233" s="1"/>
      <c r="X233" s="1"/>
      <c r="Y233" s="1"/>
      <c r="Z233" s="1"/>
      <c r="AA233" s="1"/>
      <c r="AB233" s="1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1"/>
      <c r="BY233" s="1"/>
      <c r="BZ233" s="1"/>
      <c r="CA233" s="1"/>
      <c r="CB233" s="1"/>
      <c r="CC233" s="1"/>
      <c r="CD233" s="3"/>
      <c r="CE233" s="3"/>
      <c r="CF233" s="1"/>
      <c r="CG233" s="1"/>
      <c r="CH233" s="3"/>
      <c r="CI233" s="3"/>
    </row>
    <row r="234" spans="4:87">
      <c r="P234" s="1"/>
      <c r="Q234" s="2"/>
      <c r="R234" s="2"/>
      <c r="S234" s="2"/>
      <c r="T234" s="2"/>
      <c r="U234" s="2"/>
      <c r="V234" s="1"/>
      <c r="W234" s="1"/>
      <c r="X234" s="1"/>
      <c r="Y234" s="1"/>
      <c r="Z234" s="1"/>
      <c r="AA234" s="1"/>
      <c r="AB234" s="1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1"/>
      <c r="BY234" s="1"/>
      <c r="BZ234" s="1"/>
      <c r="CA234" s="1"/>
      <c r="CB234" s="1"/>
      <c r="CC234" s="1"/>
      <c r="CD234" s="3"/>
      <c r="CE234" s="3"/>
      <c r="CF234" s="1"/>
      <c r="CG234" s="1"/>
      <c r="CH234" s="3"/>
      <c r="CI234" s="3"/>
    </row>
    <row r="235" spans="4:87">
      <c r="P235" s="1"/>
      <c r="Q235" s="2"/>
      <c r="R235" s="2"/>
      <c r="S235" s="2"/>
      <c r="T235" s="2"/>
      <c r="U235" s="2"/>
      <c r="V235" s="1"/>
      <c r="W235" s="1"/>
      <c r="X235" s="1"/>
      <c r="Y235" s="1"/>
      <c r="Z235" s="1"/>
      <c r="AA235" s="1"/>
      <c r="AB235" s="1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1"/>
      <c r="BY235" s="1"/>
      <c r="BZ235" s="1"/>
      <c r="CA235" s="1"/>
      <c r="CB235" s="1"/>
      <c r="CC235" s="1"/>
      <c r="CD235" s="3"/>
      <c r="CE235" s="3"/>
      <c r="CF235" s="1"/>
      <c r="CG235" s="1"/>
      <c r="CH235" s="3"/>
      <c r="CI235" s="3"/>
    </row>
    <row r="236" spans="4:87">
      <c r="P236" s="1"/>
      <c r="Q236" s="2"/>
      <c r="R236" s="2"/>
      <c r="S236" s="2"/>
      <c r="T236" s="2"/>
      <c r="U236" s="2"/>
      <c r="V236" s="1"/>
      <c r="W236" s="1"/>
      <c r="X236" s="1"/>
      <c r="Y236" s="1"/>
      <c r="Z236" s="1"/>
      <c r="AA236" s="1"/>
      <c r="AB236" s="1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1"/>
      <c r="BY236" s="1"/>
      <c r="BZ236" s="1"/>
      <c r="CA236" s="1"/>
      <c r="CB236" s="1"/>
      <c r="CC236" s="1"/>
      <c r="CD236" s="3"/>
      <c r="CE236" s="3"/>
      <c r="CF236" s="1"/>
      <c r="CG236" s="1"/>
      <c r="CH236" s="3"/>
      <c r="CI236" s="3"/>
    </row>
    <row r="237" spans="4:87">
      <c r="P237" s="1"/>
      <c r="Q237" s="2"/>
      <c r="R237" s="2"/>
      <c r="S237" s="2"/>
      <c r="T237" s="2"/>
      <c r="U237" s="2"/>
      <c r="V237" s="1"/>
      <c r="W237" s="1"/>
      <c r="X237" s="1"/>
      <c r="Y237" s="1"/>
      <c r="Z237" s="1"/>
      <c r="AA237" s="1"/>
      <c r="AB237" s="1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1"/>
      <c r="BY237" s="1"/>
      <c r="BZ237" s="1"/>
      <c r="CA237" s="1"/>
      <c r="CB237" s="1"/>
      <c r="CC237" s="1"/>
      <c r="CD237" s="3"/>
      <c r="CE237" s="3"/>
      <c r="CF237" s="1"/>
      <c r="CG237" s="1"/>
      <c r="CH237" s="3"/>
      <c r="CI237" s="3"/>
    </row>
    <row r="238" spans="4:87">
      <c r="P238" s="1"/>
      <c r="Q238" s="2"/>
      <c r="R238" s="2"/>
      <c r="S238" s="2"/>
      <c r="T238" s="2"/>
      <c r="U238" s="2"/>
      <c r="V238" s="1"/>
      <c r="W238" s="1"/>
      <c r="X238" s="1"/>
      <c r="Y238" s="1"/>
      <c r="Z238" s="1"/>
      <c r="AA238" s="1"/>
      <c r="AB238" s="1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1"/>
      <c r="BY238" s="1"/>
      <c r="BZ238" s="1"/>
      <c r="CA238" s="1"/>
      <c r="CB238" s="1"/>
      <c r="CC238" s="1"/>
      <c r="CD238" s="3"/>
      <c r="CE238" s="3"/>
      <c r="CF238" s="1"/>
      <c r="CG238" s="1"/>
      <c r="CH238" s="3"/>
      <c r="CI238" s="3"/>
    </row>
    <row r="239" spans="4:87">
      <c r="P239" s="1"/>
      <c r="Q239" s="2"/>
      <c r="R239" s="2"/>
      <c r="S239" s="2"/>
      <c r="T239" s="2"/>
      <c r="U239" s="2"/>
      <c r="V239" s="1"/>
      <c r="W239" s="1"/>
      <c r="X239" s="1"/>
      <c r="Y239" s="1"/>
      <c r="Z239" s="1"/>
      <c r="AA239" s="1"/>
      <c r="AB239" s="1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1"/>
      <c r="BY239" s="1"/>
      <c r="BZ239" s="1"/>
      <c r="CA239" s="1"/>
      <c r="CB239" s="1"/>
      <c r="CC239" s="1"/>
      <c r="CD239" s="3"/>
      <c r="CE239" s="3"/>
      <c r="CF239" s="1"/>
      <c r="CG239" s="1"/>
      <c r="CH239" s="3"/>
      <c r="CI239" s="3"/>
    </row>
    <row r="240" spans="4:87">
      <c r="P240" s="1"/>
      <c r="Q240" s="2"/>
      <c r="R240" s="2"/>
      <c r="S240" s="2"/>
      <c r="T240" s="2"/>
      <c r="U240" s="2"/>
      <c r="V240" s="1"/>
      <c r="W240" s="1"/>
      <c r="X240" s="1"/>
      <c r="Y240" s="1"/>
      <c r="Z240" s="1"/>
      <c r="AA240" s="1"/>
      <c r="AB240" s="1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1"/>
      <c r="BY240" s="1"/>
      <c r="BZ240" s="1"/>
      <c r="CA240" s="1"/>
      <c r="CB240" s="1"/>
      <c r="CC240" s="1"/>
      <c r="CD240" s="3"/>
      <c r="CE240" s="3"/>
      <c r="CF240" s="1"/>
      <c r="CG240" s="1"/>
      <c r="CH240" s="3"/>
      <c r="CI240" s="3"/>
    </row>
    <row r="241" spans="16:87">
      <c r="P241" s="1"/>
      <c r="Q241" s="2"/>
      <c r="R241" s="2"/>
      <c r="S241" s="2"/>
      <c r="T241" s="2"/>
      <c r="U241" s="2"/>
      <c r="V241" s="1"/>
      <c r="W241" s="1"/>
      <c r="X241" s="1"/>
      <c r="Y241" s="1"/>
      <c r="Z241" s="1"/>
      <c r="AA241" s="1"/>
      <c r="AB241" s="1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1"/>
      <c r="BY241" s="1"/>
      <c r="BZ241" s="1"/>
      <c r="CA241" s="1"/>
      <c r="CB241" s="1"/>
      <c r="CC241" s="1"/>
      <c r="CD241" s="3"/>
      <c r="CE241" s="3"/>
      <c r="CF241" s="1"/>
      <c r="CG241" s="1"/>
      <c r="CH241" s="3"/>
      <c r="CI241" s="3"/>
    </row>
    <row r="242" spans="16:87">
      <c r="P242" s="1"/>
      <c r="Q242" s="2"/>
      <c r="R242" s="2"/>
      <c r="S242" s="2"/>
      <c r="T242" s="2"/>
      <c r="U242" s="2"/>
      <c r="V242" s="1"/>
      <c r="W242" s="1"/>
      <c r="X242" s="1"/>
      <c r="Y242" s="1"/>
      <c r="Z242" s="1"/>
      <c r="AA242" s="1"/>
      <c r="AB242" s="1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1"/>
      <c r="BY242" s="1"/>
      <c r="BZ242" s="1"/>
      <c r="CA242" s="1"/>
      <c r="CB242" s="1"/>
      <c r="CC242" s="1"/>
      <c r="CD242" s="3"/>
      <c r="CE242" s="3"/>
      <c r="CF242" s="1"/>
      <c r="CG242" s="1"/>
      <c r="CH242" s="3"/>
      <c r="CI242" s="3"/>
    </row>
    <row r="243" spans="16:87">
      <c r="P243" s="1"/>
      <c r="Q243" s="2"/>
      <c r="R243" s="2"/>
      <c r="S243" s="2"/>
      <c r="T243" s="2"/>
      <c r="U243" s="2"/>
      <c r="V243" s="1"/>
      <c r="W243" s="1"/>
      <c r="X243" s="1"/>
      <c r="Y243" s="1"/>
      <c r="Z243" s="1"/>
      <c r="AA243" s="1"/>
      <c r="AB243" s="1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1"/>
      <c r="BY243" s="1"/>
      <c r="BZ243" s="1"/>
      <c r="CA243" s="1"/>
      <c r="CB243" s="1"/>
      <c r="CC243" s="1"/>
      <c r="CD243" s="3"/>
      <c r="CE243" s="3"/>
      <c r="CF243" s="1"/>
      <c r="CG243" s="1"/>
      <c r="CH243" s="3"/>
      <c r="CI243" s="3"/>
    </row>
    <row r="244" spans="16:87">
      <c r="P244" s="1"/>
      <c r="Q244" s="2"/>
      <c r="R244" s="2"/>
      <c r="S244" s="2"/>
      <c r="T244" s="2"/>
      <c r="U244" s="2"/>
      <c r="V244" s="1"/>
      <c r="W244" s="1"/>
      <c r="X244" s="1"/>
      <c r="Y244" s="1"/>
      <c r="Z244" s="1"/>
      <c r="AA244" s="1"/>
      <c r="AB244" s="1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1"/>
      <c r="BY244" s="1"/>
      <c r="BZ244" s="1"/>
      <c r="CA244" s="1"/>
      <c r="CB244" s="1"/>
      <c r="CC244" s="1"/>
      <c r="CD244" s="3"/>
      <c r="CE244" s="3"/>
      <c r="CF244" s="1"/>
      <c r="CG244" s="1"/>
      <c r="CH244" s="3"/>
      <c r="CI244" s="3"/>
    </row>
    <row r="245" spans="16:87">
      <c r="P245" s="1"/>
      <c r="Q245" s="2"/>
      <c r="R245" s="2"/>
      <c r="S245" s="2"/>
      <c r="T245" s="2"/>
      <c r="U245" s="2"/>
      <c r="V245" s="1"/>
      <c r="W245" s="1"/>
      <c r="X245" s="1"/>
      <c r="Y245" s="1"/>
      <c r="Z245" s="1"/>
      <c r="AA245" s="1"/>
      <c r="AB245" s="1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1"/>
      <c r="BY245" s="1"/>
      <c r="BZ245" s="1"/>
      <c r="CA245" s="1"/>
      <c r="CB245" s="1"/>
      <c r="CC245" s="1"/>
      <c r="CD245" s="3"/>
      <c r="CE245" s="3"/>
      <c r="CF245" s="1"/>
      <c r="CG245" s="1"/>
      <c r="CH245" s="3"/>
      <c r="CI245" s="3"/>
    </row>
    <row r="246" spans="16:87">
      <c r="P246" s="1"/>
      <c r="Q246" s="2"/>
      <c r="R246" s="2"/>
      <c r="S246" s="2"/>
      <c r="T246" s="2"/>
      <c r="U246" s="2"/>
      <c r="V246" s="1"/>
      <c r="W246" s="1"/>
      <c r="X246" s="1"/>
      <c r="Y246" s="1"/>
      <c r="Z246" s="1"/>
      <c r="AA246" s="1"/>
      <c r="AB246" s="1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1"/>
      <c r="BY246" s="1"/>
      <c r="BZ246" s="1"/>
      <c r="CA246" s="1"/>
      <c r="CB246" s="1"/>
      <c r="CC246" s="1"/>
      <c r="CD246" s="3"/>
      <c r="CE246" s="3"/>
      <c r="CF246" s="1"/>
      <c r="CG246" s="1"/>
      <c r="CH246" s="3"/>
      <c r="CI246" s="3"/>
    </row>
    <row r="247" spans="16:87">
      <c r="P247" s="1"/>
      <c r="Q247" s="2"/>
      <c r="R247" s="2"/>
      <c r="S247" s="2"/>
      <c r="T247" s="2"/>
      <c r="U247" s="2"/>
      <c r="V247" s="1"/>
      <c r="W247" s="1"/>
      <c r="X247" s="1"/>
      <c r="Y247" s="1"/>
      <c r="Z247" s="1"/>
      <c r="AA247" s="1"/>
      <c r="AB247" s="1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1"/>
      <c r="BY247" s="1"/>
      <c r="BZ247" s="1"/>
      <c r="CA247" s="1"/>
      <c r="CB247" s="1"/>
      <c r="CC247" s="1"/>
      <c r="CD247" s="3"/>
      <c r="CE247" s="3"/>
      <c r="CF247" s="1"/>
      <c r="CG247" s="1"/>
      <c r="CH247" s="3"/>
      <c r="CI247" s="3"/>
    </row>
    <row r="248" spans="16:87">
      <c r="P248" s="1"/>
      <c r="Q248" s="2"/>
      <c r="R248" s="2"/>
      <c r="S248" s="2"/>
      <c r="T248" s="2"/>
      <c r="U248" s="2"/>
      <c r="V248" s="1"/>
      <c r="W248" s="1"/>
      <c r="X248" s="1"/>
      <c r="Y248" s="1"/>
      <c r="Z248" s="1"/>
      <c r="AA248" s="1"/>
      <c r="AB248" s="1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1"/>
      <c r="BY248" s="1"/>
      <c r="BZ248" s="1"/>
      <c r="CA248" s="1"/>
      <c r="CB248" s="1"/>
      <c r="CC248" s="1"/>
      <c r="CD248" s="3"/>
      <c r="CE248" s="3"/>
      <c r="CF248" s="1"/>
      <c r="CG248" s="1"/>
      <c r="CH248" s="3"/>
      <c r="CI248" s="3"/>
    </row>
    <row r="249" spans="16:87">
      <c r="P249" s="1"/>
      <c r="Q249" s="2"/>
      <c r="R249" s="2"/>
      <c r="S249" s="2"/>
      <c r="T249" s="2"/>
      <c r="U249" s="2"/>
      <c r="V249" s="1"/>
      <c r="W249" s="1"/>
      <c r="X249" s="1"/>
      <c r="Y249" s="1"/>
      <c r="Z249" s="1"/>
      <c r="AA249" s="1"/>
      <c r="AB249" s="1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1"/>
      <c r="BY249" s="1"/>
      <c r="BZ249" s="1"/>
      <c r="CA249" s="1"/>
      <c r="CB249" s="1"/>
      <c r="CC249" s="1"/>
      <c r="CD249" s="3"/>
      <c r="CE249" s="3"/>
      <c r="CF249" s="1"/>
      <c r="CG249" s="1"/>
      <c r="CH249" s="3"/>
      <c r="CI249" s="3"/>
    </row>
    <row r="250" spans="16:87">
      <c r="P250" s="1"/>
      <c r="Q250" s="2"/>
      <c r="R250" s="2"/>
      <c r="S250" s="2"/>
      <c r="T250" s="2"/>
      <c r="U250" s="2"/>
      <c r="V250" s="1"/>
      <c r="W250" s="1"/>
      <c r="X250" s="1"/>
      <c r="Y250" s="1"/>
      <c r="Z250" s="1"/>
      <c r="AA250" s="1"/>
      <c r="AB250" s="1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1"/>
      <c r="BY250" s="1"/>
      <c r="BZ250" s="1"/>
      <c r="CA250" s="1"/>
      <c r="CB250" s="1"/>
      <c r="CC250" s="1"/>
      <c r="CD250" s="3"/>
      <c r="CE250" s="3"/>
      <c r="CF250" s="1"/>
      <c r="CG250" s="1"/>
      <c r="CH250" s="3"/>
      <c r="CI250" s="3"/>
    </row>
    <row r="251" spans="16:87">
      <c r="P251" s="1"/>
      <c r="Q251" s="2"/>
      <c r="R251" s="2"/>
      <c r="S251" s="2"/>
      <c r="T251" s="2"/>
      <c r="U251" s="2"/>
      <c r="V251" s="1"/>
      <c r="W251" s="1"/>
      <c r="X251" s="1"/>
      <c r="Y251" s="1"/>
      <c r="Z251" s="1"/>
      <c r="AA251" s="1"/>
      <c r="AB251" s="1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1"/>
      <c r="BY251" s="1"/>
      <c r="BZ251" s="1"/>
      <c r="CA251" s="1"/>
      <c r="CB251" s="1"/>
      <c r="CC251" s="1"/>
      <c r="CD251" s="3"/>
      <c r="CE251" s="3"/>
      <c r="CF251" s="1"/>
      <c r="CG251" s="1"/>
      <c r="CH251" s="3"/>
      <c r="CI251" s="3"/>
    </row>
    <row r="252" spans="16:87">
      <c r="P252" s="1"/>
      <c r="Q252" s="2"/>
      <c r="R252" s="2"/>
      <c r="S252" s="2"/>
      <c r="T252" s="2"/>
      <c r="U252" s="2"/>
      <c r="V252" s="1"/>
      <c r="W252" s="1"/>
      <c r="X252" s="1"/>
      <c r="Y252" s="1"/>
      <c r="Z252" s="1"/>
      <c r="AA252" s="1"/>
      <c r="AB252" s="1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1"/>
      <c r="BY252" s="1"/>
      <c r="BZ252" s="1"/>
      <c r="CA252" s="1"/>
      <c r="CB252" s="1"/>
      <c r="CC252" s="1"/>
      <c r="CD252" s="3"/>
      <c r="CE252" s="3"/>
      <c r="CF252" s="1"/>
      <c r="CG252" s="1"/>
      <c r="CH252" s="3"/>
      <c r="CI252" s="3"/>
    </row>
    <row r="253" spans="16:87">
      <c r="P253" s="1"/>
      <c r="Q253" s="2"/>
      <c r="R253" s="2"/>
      <c r="S253" s="2"/>
      <c r="T253" s="2"/>
      <c r="U253" s="2"/>
      <c r="V253" s="1"/>
      <c r="W253" s="1"/>
      <c r="X253" s="1"/>
      <c r="Y253" s="1"/>
      <c r="Z253" s="1"/>
      <c r="AA253" s="1"/>
      <c r="AB253" s="1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1"/>
      <c r="BY253" s="1"/>
      <c r="BZ253" s="1"/>
      <c r="CA253" s="1"/>
      <c r="CB253" s="1"/>
      <c r="CC253" s="1"/>
      <c r="CD253" s="3"/>
      <c r="CE253" s="3"/>
      <c r="CF253" s="1"/>
      <c r="CG253" s="1"/>
      <c r="CH253" s="3"/>
      <c r="CI253" s="3"/>
    </row>
    <row r="254" spans="16:87">
      <c r="P254" s="1"/>
      <c r="Q254" s="2"/>
      <c r="R254" s="2"/>
      <c r="S254" s="2"/>
      <c r="T254" s="2"/>
      <c r="U254" s="2"/>
      <c r="V254" s="1"/>
      <c r="W254" s="1"/>
      <c r="X254" s="1"/>
      <c r="Y254" s="1"/>
      <c r="Z254" s="1"/>
      <c r="AA254" s="1"/>
      <c r="AB254" s="1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1"/>
      <c r="BY254" s="1"/>
      <c r="BZ254" s="1"/>
      <c r="CA254" s="1"/>
      <c r="CB254" s="1"/>
      <c r="CC254" s="1"/>
      <c r="CD254" s="3"/>
      <c r="CE254" s="3"/>
      <c r="CF254" s="1"/>
      <c r="CG254" s="1"/>
      <c r="CH254" s="3"/>
      <c r="CI254" s="3"/>
    </row>
    <row r="255" spans="16:87">
      <c r="P255" s="1"/>
      <c r="Q255" s="2"/>
      <c r="R255" s="2"/>
      <c r="S255" s="2"/>
      <c r="T255" s="2"/>
      <c r="U255" s="2"/>
      <c r="V255" s="1"/>
      <c r="W255" s="1"/>
      <c r="X255" s="1"/>
      <c r="Y255" s="1"/>
      <c r="Z255" s="1"/>
      <c r="AA255" s="1"/>
      <c r="AB255" s="1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1"/>
      <c r="BY255" s="1"/>
      <c r="BZ255" s="1"/>
      <c r="CA255" s="1"/>
      <c r="CB255" s="1"/>
      <c r="CC255" s="1"/>
      <c r="CD255" s="3"/>
      <c r="CE255" s="3"/>
      <c r="CF255" s="1"/>
      <c r="CG255" s="1"/>
      <c r="CH255" s="3"/>
      <c r="CI255" s="3"/>
    </row>
    <row r="256" spans="16:87">
      <c r="P256" s="1"/>
      <c r="Q256" s="2"/>
      <c r="R256" s="2"/>
      <c r="S256" s="2"/>
      <c r="T256" s="2"/>
      <c r="U256" s="2"/>
      <c r="V256" s="1"/>
      <c r="W256" s="1"/>
      <c r="X256" s="1"/>
      <c r="Y256" s="1"/>
      <c r="Z256" s="1"/>
      <c r="AA256" s="1"/>
      <c r="AB256" s="1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1"/>
      <c r="BY256" s="1"/>
      <c r="BZ256" s="1"/>
      <c r="CA256" s="1"/>
      <c r="CB256" s="1"/>
      <c r="CC256" s="1"/>
      <c r="CD256" s="3"/>
      <c r="CE256" s="3"/>
      <c r="CF256" s="1"/>
      <c r="CG256" s="1"/>
      <c r="CH256" s="3"/>
      <c r="CI256" s="3"/>
    </row>
    <row r="257" spans="16:87">
      <c r="P257" s="1"/>
      <c r="Q257" s="2"/>
      <c r="R257" s="2"/>
      <c r="S257" s="2"/>
      <c r="T257" s="2"/>
      <c r="U257" s="2"/>
      <c r="V257" s="1"/>
      <c r="W257" s="1"/>
      <c r="X257" s="1"/>
      <c r="Y257" s="1"/>
      <c r="Z257" s="1"/>
      <c r="AA257" s="1"/>
      <c r="AB257" s="1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1"/>
      <c r="BY257" s="1"/>
      <c r="BZ257" s="1"/>
      <c r="CA257" s="1"/>
      <c r="CB257" s="1"/>
      <c r="CC257" s="1"/>
      <c r="CD257" s="3"/>
      <c r="CE257" s="3"/>
      <c r="CF257" s="1"/>
      <c r="CG257" s="1"/>
      <c r="CH257" s="3"/>
      <c r="CI257" s="3"/>
    </row>
    <row r="258" spans="16:87">
      <c r="P258" s="1"/>
      <c r="Q258" s="2"/>
      <c r="R258" s="2"/>
      <c r="S258" s="2"/>
      <c r="T258" s="2"/>
      <c r="U258" s="2"/>
      <c r="V258" s="1"/>
      <c r="W258" s="1"/>
      <c r="X258" s="1"/>
      <c r="Y258" s="1"/>
      <c r="Z258" s="1"/>
      <c r="AA258" s="1"/>
      <c r="AB258" s="1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1"/>
      <c r="BY258" s="1"/>
      <c r="BZ258" s="1"/>
      <c r="CA258" s="1"/>
      <c r="CB258" s="1"/>
      <c r="CC258" s="1"/>
      <c r="CD258" s="3"/>
      <c r="CE258" s="3"/>
      <c r="CF258" s="1"/>
      <c r="CG258" s="1"/>
      <c r="CH258" s="3"/>
      <c r="CI258" s="3"/>
    </row>
    <row r="259" spans="16:87">
      <c r="P259" s="1"/>
      <c r="Q259" s="2"/>
      <c r="R259" s="2"/>
      <c r="S259" s="2"/>
      <c r="T259" s="2"/>
      <c r="U259" s="2"/>
      <c r="V259" s="1"/>
      <c r="W259" s="1"/>
      <c r="X259" s="1"/>
      <c r="Y259" s="1"/>
      <c r="Z259" s="1"/>
      <c r="AA259" s="1"/>
      <c r="AB259" s="1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1"/>
      <c r="BY259" s="1"/>
      <c r="BZ259" s="1"/>
      <c r="CA259" s="1"/>
      <c r="CB259" s="1"/>
      <c r="CC259" s="1"/>
      <c r="CD259" s="3"/>
      <c r="CE259" s="3"/>
      <c r="CF259" s="1"/>
      <c r="CG259" s="1"/>
      <c r="CH259" s="3"/>
      <c r="CI259" s="3"/>
    </row>
    <row r="260" spans="16:87">
      <c r="P260" s="1"/>
      <c r="Q260" s="2"/>
      <c r="R260" s="2"/>
      <c r="S260" s="2"/>
      <c r="T260" s="2"/>
      <c r="U260" s="2"/>
      <c r="V260" s="1"/>
      <c r="W260" s="1"/>
      <c r="X260" s="1"/>
      <c r="Y260" s="1"/>
      <c r="Z260" s="1"/>
      <c r="AA260" s="1"/>
      <c r="AB260" s="1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1"/>
      <c r="BY260" s="1"/>
      <c r="BZ260" s="1"/>
      <c r="CA260" s="1"/>
      <c r="CB260" s="1"/>
      <c r="CC260" s="1"/>
      <c r="CD260" s="3"/>
      <c r="CE260" s="3"/>
      <c r="CF260" s="1"/>
      <c r="CG260" s="1"/>
      <c r="CH260" s="3"/>
      <c r="CI260" s="3"/>
    </row>
    <row r="261" spans="16:87">
      <c r="P261" s="1"/>
      <c r="Q261" s="2"/>
      <c r="R261" s="2"/>
      <c r="S261" s="2"/>
      <c r="T261" s="2"/>
      <c r="U261" s="2"/>
      <c r="V261" s="1"/>
      <c r="W261" s="1"/>
      <c r="X261" s="1"/>
      <c r="Y261" s="1"/>
      <c r="Z261" s="1"/>
      <c r="AA261" s="1"/>
      <c r="AB261" s="1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1"/>
      <c r="BY261" s="1"/>
      <c r="BZ261" s="1"/>
      <c r="CA261" s="1"/>
      <c r="CB261" s="1"/>
      <c r="CC261" s="1"/>
      <c r="CD261" s="3"/>
      <c r="CE261" s="3"/>
      <c r="CF261" s="1"/>
      <c r="CG261" s="1"/>
      <c r="CH261" s="3"/>
      <c r="CI261" s="3"/>
    </row>
    <row r="262" spans="16:87">
      <c r="P262" s="1"/>
      <c r="Q262" s="2"/>
      <c r="R262" s="2"/>
      <c r="S262" s="2"/>
      <c r="T262" s="2"/>
      <c r="U262" s="2"/>
      <c r="V262" s="1"/>
      <c r="W262" s="1"/>
      <c r="X262" s="1"/>
      <c r="Y262" s="1"/>
      <c r="Z262" s="1"/>
      <c r="AA262" s="1"/>
      <c r="AB262" s="1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1"/>
      <c r="BY262" s="1"/>
      <c r="BZ262" s="1"/>
      <c r="CA262" s="1"/>
      <c r="CB262" s="1"/>
      <c r="CC262" s="1"/>
      <c r="CD262" s="3"/>
      <c r="CE262" s="3"/>
      <c r="CF262" s="1"/>
      <c r="CG262" s="1"/>
      <c r="CH262" s="3"/>
      <c r="CI262" s="3"/>
    </row>
    <row r="263" spans="16:87">
      <c r="P263" s="1"/>
      <c r="Q263" s="2"/>
      <c r="R263" s="2"/>
      <c r="S263" s="2"/>
      <c r="T263" s="2"/>
      <c r="U263" s="2"/>
      <c r="V263" s="1"/>
      <c r="W263" s="1"/>
      <c r="X263" s="1"/>
      <c r="Y263" s="1"/>
      <c r="Z263" s="1"/>
      <c r="AA263" s="1"/>
      <c r="AB263" s="1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1"/>
      <c r="BY263" s="1"/>
      <c r="BZ263" s="1"/>
      <c r="CA263" s="1"/>
      <c r="CB263" s="1"/>
      <c r="CC263" s="1"/>
      <c r="CD263" s="3"/>
      <c r="CE263" s="3"/>
      <c r="CF263" s="1"/>
      <c r="CG263" s="1"/>
      <c r="CH263" s="3"/>
      <c r="CI263" s="3"/>
    </row>
    <row r="264" spans="16:87">
      <c r="P264" s="1"/>
      <c r="Q264" s="2"/>
      <c r="R264" s="2"/>
      <c r="S264" s="2"/>
      <c r="T264" s="2"/>
      <c r="U264" s="2"/>
      <c r="V264" s="1"/>
      <c r="W264" s="1"/>
      <c r="X264" s="1"/>
      <c r="Y264" s="1"/>
      <c r="Z264" s="1"/>
      <c r="AA264" s="1"/>
      <c r="AB264" s="1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1"/>
      <c r="BY264" s="1"/>
      <c r="BZ264" s="1"/>
      <c r="CA264" s="1"/>
      <c r="CB264" s="1"/>
      <c r="CC264" s="1"/>
      <c r="CD264" s="3"/>
      <c r="CE264" s="3"/>
      <c r="CF264" s="1"/>
      <c r="CG264" s="1"/>
      <c r="CH264" s="3"/>
      <c r="CI264" s="3"/>
    </row>
    <row r="265" spans="16:87">
      <c r="P265" s="1"/>
      <c r="Q265" s="2"/>
      <c r="R265" s="2"/>
      <c r="S265" s="2"/>
      <c r="T265" s="2"/>
      <c r="U265" s="2"/>
      <c r="V265" s="1"/>
      <c r="W265" s="1"/>
      <c r="X265" s="1"/>
      <c r="Y265" s="1"/>
      <c r="Z265" s="1"/>
      <c r="AA265" s="1"/>
      <c r="AB265" s="1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1"/>
      <c r="BY265" s="1"/>
      <c r="BZ265" s="1"/>
      <c r="CA265" s="1"/>
      <c r="CB265" s="1"/>
      <c r="CC265" s="1"/>
      <c r="CD265" s="3"/>
      <c r="CE265" s="3"/>
      <c r="CF265" s="1"/>
      <c r="CG265" s="1"/>
      <c r="CH265" s="3"/>
      <c r="CI265" s="3"/>
    </row>
    <row r="266" spans="16:87">
      <c r="P266" s="1"/>
      <c r="Q266" s="2"/>
      <c r="R266" s="2"/>
      <c r="S266" s="2"/>
      <c r="T266" s="2"/>
      <c r="U266" s="2"/>
      <c r="V266" s="1"/>
      <c r="W266" s="1"/>
      <c r="X266" s="1"/>
      <c r="Y266" s="1"/>
      <c r="Z266" s="1"/>
      <c r="AA266" s="1"/>
      <c r="AB266" s="1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1"/>
      <c r="BY266" s="1"/>
      <c r="BZ266" s="1"/>
      <c r="CA266" s="1"/>
      <c r="CB266" s="1"/>
      <c r="CC266" s="1"/>
      <c r="CD266" s="3"/>
      <c r="CE266" s="3"/>
      <c r="CF266" s="1"/>
      <c r="CG266" s="1"/>
      <c r="CH266" s="3"/>
      <c r="CI266" s="3"/>
    </row>
    <row r="267" spans="16:87">
      <c r="P267" s="1"/>
      <c r="Q267" s="2"/>
      <c r="R267" s="2"/>
      <c r="S267" s="2"/>
      <c r="T267" s="2"/>
      <c r="U267" s="2"/>
      <c r="V267" s="1"/>
      <c r="W267" s="1"/>
      <c r="X267" s="1"/>
      <c r="Y267" s="1"/>
      <c r="Z267" s="1"/>
      <c r="AA267" s="1"/>
      <c r="AB267" s="1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1"/>
      <c r="BY267" s="1"/>
      <c r="BZ267" s="1"/>
      <c r="CA267" s="1"/>
      <c r="CB267" s="1"/>
      <c r="CC267" s="1"/>
      <c r="CD267" s="3"/>
      <c r="CE267" s="3"/>
      <c r="CF267" s="1"/>
      <c r="CG267" s="1"/>
      <c r="CH267" s="3"/>
      <c r="CI267" s="3"/>
    </row>
    <row r="268" spans="16:87">
      <c r="P268" s="1"/>
      <c r="Q268" s="2"/>
      <c r="R268" s="2"/>
      <c r="S268" s="2"/>
      <c r="T268" s="2"/>
      <c r="U268" s="2"/>
      <c r="V268" s="1"/>
      <c r="W268" s="1"/>
      <c r="X268" s="1"/>
      <c r="Y268" s="1"/>
      <c r="Z268" s="1"/>
      <c r="AA268" s="1"/>
      <c r="AB268" s="1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1"/>
      <c r="BY268" s="1"/>
      <c r="BZ268" s="1"/>
      <c r="CA268" s="1"/>
      <c r="CB268" s="1"/>
      <c r="CC268" s="1"/>
      <c r="CD268" s="3"/>
      <c r="CE268" s="3"/>
      <c r="CF268" s="1"/>
      <c r="CG268" s="1"/>
      <c r="CH268" s="3"/>
      <c r="CI268" s="3"/>
    </row>
    <row r="269" spans="16:87">
      <c r="P269" s="1"/>
      <c r="Q269" s="2"/>
      <c r="R269" s="2"/>
      <c r="S269" s="2"/>
      <c r="T269" s="2"/>
      <c r="U269" s="2"/>
      <c r="V269" s="1"/>
      <c r="W269" s="1"/>
      <c r="X269" s="1"/>
      <c r="Y269" s="1"/>
      <c r="Z269" s="1"/>
      <c r="AA269" s="1"/>
      <c r="AB269" s="1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1"/>
      <c r="BY269" s="1"/>
      <c r="BZ269" s="1"/>
      <c r="CA269" s="1"/>
      <c r="CB269" s="1"/>
      <c r="CC269" s="1"/>
      <c r="CD269" s="3"/>
      <c r="CE269" s="3"/>
      <c r="CF269" s="1"/>
      <c r="CG269" s="1"/>
      <c r="CH269" s="3"/>
      <c r="CI269" s="3"/>
    </row>
    <row r="270" spans="16:87">
      <c r="P270" s="1"/>
      <c r="Q270" s="2"/>
      <c r="R270" s="2"/>
      <c r="S270" s="2"/>
      <c r="T270" s="2"/>
      <c r="U270" s="2"/>
      <c r="V270" s="1"/>
      <c r="W270" s="1"/>
      <c r="X270" s="1"/>
      <c r="Y270" s="1"/>
      <c r="Z270" s="1"/>
      <c r="AA270" s="1"/>
      <c r="AB270" s="1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1"/>
      <c r="BY270" s="1"/>
      <c r="BZ270" s="1"/>
      <c r="CA270" s="1"/>
      <c r="CB270" s="1"/>
      <c r="CC270" s="1"/>
      <c r="CD270" s="3"/>
      <c r="CE270" s="3"/>
      <c r="CF270" s="1"/>
      <c r="CG270" s="1"/>
      <c r="CH270" s="3"/>
      <c r="CI270" s="3"/>
    </row>
    <row r="271" spans="16:87">
      <c r="P271" s="1"/>
      <c r="Q271" s="2"/>
      <c r="R271" s="2"/>
      <c r="S271" s="2"/>
      <c r="T271" s="2"/>
      <c r="U271" s="2"/>
      <c r="V271" s="1"/>
      <c r="W271" s="1"/>
      <c r="X271" s="1"/>
      <c r="Y271" s="1"/>
      <c r="Z271" s="1"/>
      <c r="AA271" s="1"/>
      <c r="AB271" s="1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1"/>
      <c r="BY271" s="1"/>
      <c r="BZ271" s="1"/>
      <c r="CA271" s="1"/>
      <c r="CB271" s="1"/>
      <c r="CC271" s="1"/>
      <c r="CD271" s="3"/>
      <c r="CE271" s="3"/>
      <c r="CF271" s="1"/>
      <c r="CG271" s="1"/>
      <c r="CH271" s="3"/>
      <c r="CI271" s="3"/>
    </row>
    <row r="272" spans="16:87">
      <c r="P272" s="1"/>
      <c r="Q272" s="2"/>
      <c r="R272" s="2"/>
      <c r="S272" s="2"/>
      <c r="T272" s="2"/>
      <c r="U272" s="2"/>
      <c r="V272" s="1"/>
      <c r="W272" s="1"/>
      <c r="X272" s="1"/>
      <c r="Y272" s="1"/>
      <c r="Z272" s="1"/>
      <c r="AA272" s="1"/>
      <c r="AB272" s="1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1"/>
      <c r="BY272" s="1"/>
      <c r="BZ272" s="1"/>
      <c r="CA272" s="1"/>
      <c r="CB272" s="1"/>
      <c r="CC272" s="1"/>
      <c r="CD272" s="3"/>
      <c r="CE272" s="3"/>
      <c r="CF272" s="1"/>
      <c r="CG272" s="1"/>
      <c r="CH272" s="3"/>
      <c r="CI272" s="3"/>
    </row>
    <row r="273" spans="16:87">
      <c r="P273" s="1"/>
      <c r="Q273" s="2"/>
      <c r="R273" s="2"/>
      <c r="S273" s="2"/>
      <c r="T273" s="2"/>
      <c r="U273" s="2"/>
      <c r="V273" s="1"/>
      <c r="W273" s="1"/>
      <c r="X273" s="1"/>
      <c r="Y273" s="1"/>
      <c r="Z273" s="1"/>
      <c r="AA273" s="1"/>
      <c r="AB273" s="1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1"/>
      <c r="BY273" s="1"/>
      <c r="BZ273" s="1"/>
      <c r="CA273" s="1"/>
      <c r="CB273" s="1"/>
      <c r="CC273" s="1"/>
      <c r="CD273" s="3"/>
      <c r="CE273" s="3"/>
      <c r="CF273" s="1"/>
      <c r="CG273" s="1"/>
      <c r="CH273" s="3"/>
      <c r="CI273" s="3"/>
    </row>
    <row r="274" spans="16:87">
      <c r="P274" s="1"/>
      <c r="Q274" s="2"/>
      <c r="R274" s="2"/>
      <c r="S274" s="2"/>
      <c r="T274" s="2"/>
      <c r="U274" s="2"/>
      <c r="V274" s="1"/>
      <c r="W274" s="1"/>
      <c r="X274" s="1"/>
      <c r="Y274" s="1"/>
      <c r="Z274" s="1"/>
      <c r="AA274" s="1"/>
      <c r="AB274" s="1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1"/>
      <c r="BY274" s="1"/>
      <c r="BZ274" s="1"/>
      <c r="CA274" s="1"/>
      <c r="CB274" s="1"/>
      <c r="CC274" s="1"/>
      <c r="CD274" s="3"/>
      <c r="CE274" s="3"/>
      <c r="CF274" s="1"/>
      <c r="CG274" s="1"/>
      <c r="CH274" s="3"/>
      <c r="CI274" s="3"/>
    </row>
    <row r="275" spans="16:87">
      <c r="P275" s="1"/>
      <c r="Q275" s="2"/>
      <c r="R275" s="2"/>
      <c r="S275" s="2"/>
      <c r="T275" s="2"/>
      <c r="U275" s="2"/>
      <c r="V275" s="1"/>
      <c r="W275" s="1"/>
      <c r="X275" s="1"/>
      <c r="Y275" s="1"/>
      <c r="Z275" s="1"/>
      <c r="AA275" s="1"/>
      <c r="AB275" s="1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1"/>
      <c r="BY275" s="1"/>
      <c r="BZ275" s="1"/>
      <c r="CA275" s="1"/>
      <c r="CB275" s="1"/>
      <c r="CC275" s="1"/>
      <c r="CD275" s="3"/>
      <c r="CE275" s="3"/>
      <c r="CF275" s="1"/>
      <c r="CG275" s="1"/>
      <c r="CH275" s="3"/>
      <c r="CI275" s="3"/>
    </row>
    <row r="276" spans="16:87">
      <c r="P276" s="1"/>
      <c r="Q276" s="2"/>
      <c r="R276" s="2"/>
      <c r="S276" s="2"/>
      <c r="T276" s="2"/>
      <c r="U276" s="2"/>
      <c r="V276" s="1"/>
      <c r="W276" s="1"/>
      <c r="X276" s="1"/>
      <c r="Y276" s="1"/>
      <c r="Z276" s="1"/>
      <c r="AA276" s="1"/>
      <c r="AB276" s="1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1"/>
      <c r="BY276" s="1"/>
      <c r="BZ276" s="1"/>
      <c r="CA276" s="1"/>
      <c r="CB276" s="1"/>
      <c r="CC276" s="1"/>
      <c r="CD276" s="3"/>
      <c r="CE276" s="3"/>
      <c r="CF276" s="1"/>
      <c r="CG276" s="1"/>
      <c r="CH276" s="3"/>
      <c r="CI276" s="3"/>
    </row>
    <row r="277" spans="16:87">
      <c r="P277" s="1"/>
      <c r="Q277" s="2"/>
      <c r="R277" s="2"/>
      <c r="S277" s="2"/>
      <c r="T277" s="2"/>
      <c r="U277" s="2"/>
      <c r="V277" s="1"/>
      <c r="W277" s="1"/>
      <c r="X277" s="1"/>
      <c r="Y277" s="1"/>
      <c r="Z277" s="1"/>
      <c r="AA277" s="1"/>
      <c r="AB277" s="1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1"/>
      <c r="BY277" s="1"/>
      <c r="BZ277" s="1"/>
      <c r="CA277" s="1"/>
      <c r="CB277" s="1"/>
      <c r="CC277" s="1"/>
      <c r="CD277" s="3"/>
      <c r="CE277" s="3"/>
      <c r="CF277" s="1"/>
      <c r="CG277" s="1"/>
      <c r="CH277" s="3"/>
      <c r="CI277" s="3"/>
    </row>
    <row r="278" spans="16:87">
      <c r="P278" s="1"/>
      <c r="Q278" s="2"/>
      <c r="R278" s="2"/>
      <c r="S278" s="2"/>
      <c r="T278" s="2"/>
      <c r="U278" s="2"/>
      <c r="V278" s="1"/>
      <c r="W278" s="1"/>
      <c r="X278" s="1"/>
      <c r="Y278" s="1"/>
      <c r="Z278" s="1"/>
      <c r="AA278" s="1"/>
      <c r="AB278" s="1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1"/>
      <c r="BY278" s="1"/>
      <c r="BZ278" s="1"/>
      <c r="CA278" s="1"/>
      <c r="CB278" s="1"/>
      <c r="CC278" s="1"/>
      <c r="CD278" s="3"/>
      <c r="CE278" s="3"/>
      <c r="CF278" s="1"/>
      <c r="CG278" s="1"/>
      <c r="CH278" s="3"/>
      <c r="CI278" s="3"/>
    </row>
    <row r="279" spans="16:87">
      <c r="P279" s="1"/>
      <c r="Q279" s="2"/>
      <c r="R279" s="2"/>
      <c r="S279" s="2"/>
      <c r="T279" s="2"/>
      <c r="U279" s="2"/>
      <c r="V279" s="1"/>
      <c r="W279" s="1"/>
      <c r="X279" s="1"/>
      <c r="Y279" s="1"/>
      <c r="Z279" s="1"/>
      <c r="AA279" s="1"/>
      <c r="AB279" s="1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1"/>
      <c r="BY279" s="1"/>
      <c r="BZ279" s="1"/>
      <c r="CA279" s="1"/>
      <c r="CB279" s="1"/>
      <c r="CC279" s="1"/>
      <c r="CD279" s="3"/>
      <c r="CE279" s="3"/>
      <c r="CF279" s="1"/>
      <c r="CG279" s="1"/>
      <c r="CH279" s="3"/>
      <c r="CI279" s="3"/>
    </row>
    <row r="280" spans="16:87">
      <c r="P280" s="1"/>
      <c r="Q280" s="2"/>
      <c r="R280" s="2"/>
      <c r="S280" s="2"/>
      <c r="T280" s="2"/>
      <c r="U280" s="2"/>
      <c r="V280" s="1"/>
      <c r="W280" s="1"/>
      <c r="X280" s="1"/>
      <c r="Y280" s="1"/>
      <c r="Z280" s="1"/>
      <c r="AA280" s="1"/>
      <c r="AB280" s="1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1"/>
      <c r="BY280" s="1"/>
      <c r="BZ280" s="1"/>
      <c r="CA280" s="1"/>
      <c r="CB280" s="1"/>
      <c r="CC280" s="1"/>
      <c r="CD280" s="3"/>
      <c r="CE280" s="3"/>
      <c r="CF280" s="1"/>
      <c r="CG280" s="1"/>
      <c r="CH280" s="3"/>
      <c r="CI280" s="3"/>
    </row>
    <row r="281" spans="16:87">
      <c r="P281" s="1"/>
      <c r="Q281" s="2"/>
      <c r="R281" s="2"/>
      <c r="S281" s="2"/>
      <c r="T281" s="2"/>
      <c r="U281" s="2"/>
      <c r="V281" s="1"/>
      <c r="W281" s="1"/>
      <c r="X281" s="1"/>
      <c r="Y281" s="1"/>
      <c r="Z281" s="1"/>
      <c r="AA281" s="1"/>
      <c r="AB281" s="1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1"/>
      <c r="BY281" s="1"/>
      <c r="BZ281" s="1"/>
      <c r="CA281" s="1"/>
      <c r="CB281" s="1"/>
      <c r="CC281" s="1"/>
      <c r="CD281" s="3"/>
      <c r="CE281" s="3"/>
      <c r="CF281" s="1"/>
      <c r="CG281" s="1"/>
      <c r="CH281" s="3"/>
      <c r="CI281" s="3"/>
    </row>
    <row r="282" spans="16:87">
      <c r="P282" s="1"/>
      <c r="Q282" s="2"/>
      <c r="R282" s="2"/>
      <c r="S282" s="2"/>
      <c r="T282" s="2"/>
      <c r="U282" s="2"/>
      <c r="V282" s="1"/>
      <c r="W282" s="1"/>
      <c r="X282" s="1"/>
      <c r="Y282" s="1"/>
      <c r="Z282" s="1"/>
      <c r="AA282" s="1"/>
      <c r="AB282" s="1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1"/>
      <c r="BY282" s="1"/>
      <c r="BZ282" s="1"/>
      <c r="CA282" s="1"/>
      <c r="CB282" s="1"/>
      <c r="CC282" s="1"/>
      <c r="CD282" s="3"/>
      <c r="CE282" s="3"/>
      <c r="CF282" s="1"/>
      <c r="CG282" s="1"/>
      <c r="CH282" s="3"/>
      <c r="CI282" s="3"/>
    </row>
    <row r="283" spans="16:87">
      <c r="P283" s="1"/>
      <c r="Q283" s="2"/>
      <c r="R283" s="2"/>
      <c r="S283" s="2"/>
      <c r="T283" s="2"/>
      <c r="U283" s="2"/>
      <c r="V283" s="1"/>
      <c r="W283" s="1"/>
      <c r="X283" s="1"/>
      <c r="Y283" s="1"/>
      <c r="Z283" s="1"/>
      <c r="AA283" s="1"/>
      <c r="AB283" s="1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1"/>
      <c r="BY283" s="1"/>
      <c r="BZ283" s="1"/>
      <c r="CA283" s="1"/>
      <c r="CB283" s="1"/>
      <c r="CC283" s="1"/>
      <c r="CD283" s="3"/>
      <c r="CE283" s="3"/>
      <c r="CF283" s="1"/>
      <c r="CG283" s="1"/>
      <c r="CH283" s="3"/>
      <c r="CI283" s="3"/>
    </row>
    <row r="284" spans="16:87">
      <c r="P284" s="1"/>
      <c r="Q284" s="2"/>
      <c r="R284" s="2"/>
      <c r="S284" s="2"/>
      <c r="T284" s="2"/>
      <c r="U284" s="2"/>
      <c r="V284" s="1"/>
      <c r="W284" s="1"/>
      <c r="X284" s="1"/>
      <c r="Y284" s="1"/>
      <c r="Z284" s="1"/>
      <c r="AA284" s="1"/>
      <c r="AB284" s="1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1"/>
      <c r="BY284" s="1"/>
      <c r="BZ284" s="1"/>
      <c r="CA284" s="1"/>
      <c r="CB284" s="1"/>
      <c r="CC284" s="1"/>
      <c r="CD284" s="3"/>
      <c r="CE284" s="3"/>
      <c r="CF284" s="1"/>
      <c r="CG284" s="1"/>
      <c r="CH284" s="3"/>
      <c r="CI284" s="3"/>
    </row>
    <row r="285" spans="16:87">
      <c r="P285" s="1"/>
      <c r="Q285" s="2"/>
      <c r="R285" s="2"/>
      <c r="S285" s="2"/>
      <c r="T285" s="2"/>
      <c r="U285" s="2"/>
      <c r="V285" s="1"/>
      <c r="W285" s="1"/>
      <c r="X285" s="1"/>
      <c r="Y285" s="1"/>
      <c r="Z285" s="1"/>
      <c r="AA285" s="1"/>
      <c r="AB285" s="1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1"/>
      <c r="BY285" s="1"/>
      <c r="BZ285" s="1"/>
      <c r="CA285" s="1"/>
      <c r="CB285" s="1"/>
      <c r="CC285" s="1"/>
      <c r="CD285" s="3"/>
      <c r="CE285" s="3"/>
      <c r="CF285" s="1"/>
      <c r="CG285" s="1"/>
      <c r="CH285" s="3"/>
      <c r="CI285" s="3"/>
    </row>
    <row r="286" spans="16:87">
      <c r="P286" s="1"/>
      <c r="Q286" s="2"/>
      <c r="R286" s="2"/>
      <c r="S286" s="2"/>
      <c r="T286" s="2"/>
      <c r="U286" s="2"/>
      <c r="V286" s="1"/>
      <c r="W286" s="1"/>
      <c r="X286" s="1"/>
      <c r="Y286" s="1"/>
      <c r="Z286" s="1"/>
      <c r="AA286" s="1"/>
      <c r="AB286" s="1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1"/>
      <c r="BY286" s="1"/>
      <c r="BZ286" s="1"/>
      <c r="CA286" s="1"/>
      <c r="CB286" s="1"/>
      <c r="CC286" s="1"/>
      <c r="CD286" s="3"/>
      <c r="CE286" s="3"/>
      <c r="CF286" s="1"/>
      <c r="CG286" s="1"/>
      <c r="CH286" s="3"/>
      <c r="CI286" s="3"/>
    </row>
    <row r="287" spans="16:87">
      <c r="P287" s="1"/>
      <c r="Q287" s="2"/>
      <c r="R287" s="2"/>
      <c r="S287" s="2"/>
      <c r="T287" s="2"/>
      <c r="U287" s="2"/>
      <c r="V287" s="1"/>
      <c r="W287" s="1"/>
      <c r="X287" s="1"/>
      <c r="Y287" s="1"/>
      <c r="Z287" s="1"/>
      <c r="AA287" s="1"/>
      <c r="AB287" s="1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1"/>
      <c r="BY287" s="1"/>
      <c r="BZ287" s="1"/>
      <c r="CA287" s="1"/>
      <c r="CB287" s="1"/>
      <c r="CC287" s="1"/>
      <c r="CD287" s="3"/>
      <c r="CE287" s="3"/>
      <c r="CF287" s="1"/>
      <c r="CG287" s="1"/>
      <c r="CH287" s="3"/>
      <c r="CI287" s="3"/>
    </row>
    <row r="288" spans="16:87">
      <c r="P288" s="1"/>
      <c r="Q288" s="2"/>
      <c r="R288" s="2"/>
      <c r="S288" s="2"/>
      <c r="T288" s="2"/>
      <c r="U288" s="2"/>
      <c r="V288" s="1"/>
      <c r="W288" s="1"/>
      <c r="X288" s="1"/>
      <c r="Y288" s="1"/>
      <c r="Z288" s="1"/>
      <c r="AA288" s="1"/>
      <c r="AB288" s="1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1"/>
      <c r="BY288" s="1"/>
      <c r="BZ288" s="1"/>
      <c r="CA288" s="1"/>
      <c r="CB288" s="1"/>
      <c r="CC288" s="1"/>
      <c r="CD288" s="3"/>
      <c r="CE288" s="3"/>
      <c r="CF288" s="1"/>
      <c r="CG288" s="1"/>
      <c r="CH288" s="3"/>
      <c r="CI288" s="3"/>
    </row>
    <row r="289" spans="16:87">
      <c r="P289" s="1"/>
      <c r="Q289" s="2"/>
      <c r="R289" s="2"/>
      <c r="S289" s="2"/>
      <c r="T289" s="2"/>
      <c r="U289" s="2"/>
      <c r="V289" s="1"/>
      <c r="W289" s="1"/>
      <c r="X289" s="1"/>
      <c r="Y289" s="1"/>
      <c r="Z289" s="1"/>
      <c r="AA289" s="1"/>
      <c r="AB289" s="1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1"/>
      <c r="BY289" s="1"/>
      <c r="BZ289" s="1"/>
      <c r="CA289" s="1"/>
      <c r="CB289" s="1"/>
      <c r="CC289" s="1"/>
      <c r="CD289" s="3"/>
      <c r="CE289" s="3"/>
      <c r="CF289" s="1"/>
      <c r="CG289" s="1"/>
      <c r="CH289" s="3"/>
      <c r="CI289" s="3"/>
    </row>
    <row r="290" spans="16:87">
      <c r="P290" s="1"/>
      <c r="Q290" s="2"/>
      <c r="R290" s="2"/>
      <c r="S290" s="2"/>
      <c r="T290" s="2"/>
      <c r="U290" s="2"/>
      <c r="V290" s="1"/>
      <c r="W290" s="1"/>
      <c r="X290" s="1"/>
      <c r="Y290" s="1"/>
      <c r="Z290" s="1"/>
      <c r="AA290" s="1"/>
      <c r="AB290" s="1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1"/>
      <c r="BY290" s="1"/>
      <c r="BZ290" s="1"/>
      <c r="CA290" s="1"/>
      <c r="CB290" s="1"/>
      <c r="CC290" s="1"/>
      <c r="CD290" s="3"/>
      <c r="CE290" s="3"/>
      <c r="CF290" s="1"/>
      <c r="CG290" s="1"/>
      <c r="CH290" s="3"/>
      <c r="CI290" s="3"/>
    </row>
    <row r="291" spans="16:87">
      <c r="P291" s="1"/>
      <c r="Q291" s="2"/>
      <c r="R291" s="2"/>
      <c r="S291" s="2"/>
      <c r="T291" s="2"/>
      <c r="U291" s="2"/>
      <c r="V291" s="1"/>
      <c r="W291" s="1"/>
      <c r="X291" s="1"/>
      <c r="Y291" s="1"/>
      <c r="Z291" s="1"/>
      <c r="AA291" s="1"/>
      <c r="AB291" s="1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1"/>
      <c r="BY291" s="1"/>
      <c r="BZ291" s="1"/>
      <c r="CA291" s="1"/>
      <c r="CB291" s="1"/>
      <c r="CC291" s="1"/>
      <c r="CD291" s="3"/>
      <c r="CE291" s="3"/>
      <c r="CF291" s="1"/>
      <c r="CG291" s="1"/>
      <c r="CH291" s="3"/>
      <c r="CI291" s="3"/>
    </row>
    <row r="292" spans="16:87">
      <c r="P292" s="1"/>
      <c r="Q292" s="2"/>
      <c r="R292" s="2"/>
      <c r="S292" s="2"/>
      <c r="T292" s="2"/>
      <c r="U292" s="2"/>
      <c r="V292" s="1"/>
      <c r="W292" s="1"/>
      <c r="X292" s="1"/>
      <c r="Y292" s="1"/>
      <c r="Z292" s="1"/>
      <c r="AA292" s="1"/>
      <c r="AB292" s="1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1"/>
      <c r="BY292" s="1"/>
      <c r="BZ292" s="1"/>
      <c r="CA292" s="1"/>
      <c r="CB292" s="1"/>
      <c r="CC292" s="1"/>
      <c r="CD292" s="3"/>
      <c r="CE292" s="3"/>
      <c r="CF292" s="1"/>
      <c r="CG292" s="1"/>
      <c r="CH292" s="3"/>
      <c r="CI292" s="3"/>
    </row>
    <row r="293" spans="16:87">
      <c r="P293" s="1"/>
      <c r="Q293" s="2"/>
      <c r="R293" s="2"/>
      <c r="S293" s="2"/>
      <c r="T293" s="2"/>
      <c r="U293" s="2"/>
      <c r="V293" s="1"/>
      <c r="W293" s="1"/>
      <c r="X293" s="1"/>
      <c r="Y293" s="1"/>
      <c r="Z293" s="1"/>
      <c r="AA293" s="1"/>
      <c r="AB293" s="1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1"/>
      <c r="BY293" s="1"/>
      <c r="BZ293" s="1"/>
      <c r="CA293" s="1"/>
      <c r="CB293" s="1"/>
      <c r="CC293" s="1"/>
      <c r="CD293" s="3"/>
      <c r="CE293" s="3"/>
      <c r="CF293" s="1"/>
      <c r="CG293" s="1"/>
      <c r="CH293" s="3"/>
      <c r="CI293" s="3"/>
    </row>
    <row r="294" spans="16:87">
      <c r="P294" s="1"/>
      <c r="Q294" s="2"/>
      <c r="R294" s="2"/>
      <c r="S294" s="2"/>
      <c r="T294" s="2"/>
      <c r="U294" s="2"/>
      <c r="V294" s="1"/>
      <c r="W294" s="1"/>
      <c r="X294" s="1"/>
      <c r="Y294" s="1"/>
      <c r="Z294" s="1"/>
      <c r="AA294" s="1"/>
      <c r="AB294" s="1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1"/>
      <c r="BY294" s="1"/>
      <c r="BZ294" s="1"/>
      <c r="CA294" s="1"/>
      <c r="CB294" s="1"/>
      <c r="CC294" s="1"/>
      <c r="CD294" s="3"/>
      <c r="CE294" s="3"/>
      <c r="CF294" s="1"/>
      <c r="CG294" s="1"/>
      <c r="CH294" s="3"/>
      <c r="CI294" s="3"/>
    </row>
    <row r="295" spans="16:87">
      <c r="P295" s="1"/>
      <c r="Q295" s="2"/>
      <c r="R295" s="2"/>
      <c r="S295" s="2"/>
      <c r="T295" s="2"/>
      <c r="U295" s="2"/>
      <c r="V295" s="1"/>
      <c r="W295" s="1"/>
      <c r="X295" s="1"/>
      <c r="Y295" s="1"/>
      <c r="Z295" s="1"/>
      <c r="AA295" s="1"/>
      <c r="AB295" s="1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1"/>
      <c r="BY295" s="1"/>
      <c r="BZ295" s="1"/>
      <c r="CA295" s="1"/>
      <c r="CB295" s="1"/>
      <c r="CC295" s="1"/>
      <c r="CD295" s="3"/>
      <c r="CE295" s="3"/>
      <c r="CF295" s="1"/>
      <c r="CG295" s="1"/>
      <c r="CH295" s="3"/>
      <c r="CI295" s="3"/>
    </row>
    <row r="296" spans="16:87">
      <c r="P296" s="1"/>
      <c r="Q296" s="2"/>
      <c r="R296" s="2"/>
      <c r="S296" s="2"/>
      <c r="T296" s="2"/>
      <c r="U296" s="2"/>
      <c r="V296" s="1"/>
      <c r="W296" s="1"/>
      <c r="X296" s="1"/>
      <c r="Y296" s="1"/>
      <c r="Z296" s="1"/>
      <c r="AA296" s="1"/>
      <c r="AB296" s="1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1"/>
      <c r="BY296" s="1"/>
      <c r="BZ296" s="1"/>
      <c r="CA296" s="1"/>
      <c r="CB296" s="1"/>
      <c r="CC296" s="1"/>
      <c r="CD296" s="3"/>
      <c r="CE296" s="3"/>
      <c r="CF296" s="1"/>
      <c r="CG296" s="1"/>
      <c r="CH296" s="3"/>
      <c r="CI296" s="3"/>
    </row>
    <row r="297" spans="16:87">
      <c r="P297" s="1"/>
      <c r="Q297" s="2"/>
      <c r="R297" s="2"/>
      <c r="S297" s="2"/>
      <c r="T297" s="2"/>
      <c r="U297" s="2"/>
      <c r="V297" s="1"/>
      <c r="W297" s="1"/>
      <c r="X297" s="1"/>
      <c r="Y297" s="1"/>
      <c r="Z297" s="1"/>
      <c r="AA297" s="1"/>
      <c r="AB297" s="1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1"/>
      <c r="BY297" s="1"/>
      <c r="BZ297" s="1"/>
      <c r="CA297" s="1"/>
      <c r="CB297" s="1"/>
      <c r="CC297" s="1"/>
      <c r="CD297" s="3"/>
      <c r="CE297" s="3"/>
      <c r="CF297" s="1"/>
      <c r="CG297" s="1"/>
      <c r="CH297" s="3"/>
      <c r="CI297" s="3"/>
    </row>
    <row r="298" spans="16:87">
      <c r="P298" s="1"/>
      <c r="Q298" s="2"/>
      <c r="R298" s="2"/>
      <c r="S298" s="2"/>
      <c r="T298" s="2"/>
      <c r="U298" s="2"/>
      <c r="V298" s="1"/>
      <c r="W298" s="1"/>
      <c r="X298" s="1"/>
      <c r="Y298" s="1"/>
      <c r="Z298" s="1"/>
      <c r="AA298" s="1"/>
      <c r="AB298" s="1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1"/>
      <c r="BY298" s="1"/>
      <c r="BZ298" s="1"/>
      <c r="CA298" s="1"/>
      <c r="CB298" s="1"/>
      <c r="CC298" s="1"/>
      <c r="CD298" s="3"/>
      <c r="CE298" s="3"/>
      <c r="CF298" s="1"/>
      <c r="CG298" s="1"/>
      <c r="CH298" s="3"/>
      <c r="CI298" s="3"/>
    </row>
    <row r="299" spans="16:87">
      <c r="P299" s="1"/>
      <c r="Q299" s="2"/>
      <c r="R299" s="2"/>
      <c r="S299" s="2"/>
      <c r="T299" s="2"/>
      <c r="U299" s="2"/>
      <c r="V299" s="1"/>
      <c r="W299" s="1"/>
      <c r="X299" s="1"/>
      <c r="Y299" s="1"/>
      <c r="Z299" s="1"/>
      <c r="AA299" s="1"/>
      <c r="AB299" s="1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1"/>
      <c r="BY299" s="1"/>
      <c r="BZ299" s="1"/>
      <c r="CA299" s="1"/>
      <c r="CB299" s="1"/>
      <c r="CC299" s="1"/>
      <c r="CD299" s="3"/>
      <c r="CE299" s="3"/>
      <c r="CF299" s="1"/>
      <c r="CG299" s="1"/>
      <c r="CH299" s="3"/>
      <c r="CI299" s="3"/>
    </row>
    <row r="300" spans="16:87">
      <c r="P300" s="1"/>
      <c r="Q300" s="2"/>
      <c r="R300" s="2"/>
      <c r="S300" s="2"/>
      <c r="T300" s="2"/>
      <c r="U300" s="2"/>
      <c r="V300" s="1"/>
      <c r="W300" s="1"/>
      <c r="X300" s="1"/>
      <c r="Y300" s="1"/>
      <c r="Z300" s="1"/>
      <c r="AA300" s="1"/>
      <c r="AB300" s="1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1"/>
      <c r="BY300" s="1"/>
      <c r="BZ300" s="1"/>
      <c r="CA300" s="1"/>
      <c r="CB300" s="1"/>
      <c r="CC300" s="1"/>
      <c r="CD300" s="3"/>
      <c r="CE300" s="3"/>
      <c r="CF300" s="1"/>
      <c r="CG300" s="1"/>
      <c r="CH300" s="3"/>
      <c r="CI300" s="3"/>
    </row>
    <row r="301" spans="16:87">
      <c r="P301" s="1"/>
      <c r="Q301" s="2"/>
      <c r="R301" s="2"/>
      <c r="S301" s="2"/>
      <c r="T301" s="2"/>
      <c r="U301" s="2"/>
      <c r="V301" s="1"/>
      <c r="W301" s="1"/>
      <c r="X301" s="1"/>
      <c r="Y301" s="1"/>
      <c r="Z301" s="1"/>
      <c r="AA301" s="1"/>
      <c r="AB301" s="1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1"/>
      <c r="BY301" s="1"/>
      <c r="BZ301" s="1"/>
      <c r="CA301" s="1"/>
      <c r="CB301" s="1"/>
      <c r="CC301" s="1"/>
      <c r="CD301" s="3"/>
      <c r="CE301" s="3"/>
      <c r="CF301" s="1"/>
      <c r="CG301" s="1"/>
      <c r="CH301" s="3"/>
      <c r="CI301" s="3"/>
    </row>
    <row r="302" spans="16:87">
      <c r="P302" s="1"/>
      <c r="Q302" s="2"/>
      <c r="R302" s="2"/>
      <c r="S302" s="2"/>
      <c r="T302" s="2"/>
      <c r="U302" s="2"/>
      <c r="V302" s="1"/>
      <c r="W302" s="1"/>
      <c r="X302" s="1"/>
      <c r="Y302" s="1"/>
      <c r="Z302" s="1"/>
      <c r="AA302" s="1"/>
      <c r="AB302" s="1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1"/>
      <c r="BY302" s="1"/>
      <c r="BZ302" s="1"/>
      <c r="CA302" s="1"/>
      <c r="CB302" s="1"/>
      <c r="CC302" s="1"/>
      <c r="CD302" s="3"/>
      <c r="CE302" s="3"/>
      <c r="CF302" s="1"/>
      <c r="CG302" s="1"/>
      <c r="CH302" s="3"/>
      <c r="CI302" s="3"/>
    </row>
    <row r="303" spans="16:87">
      <c r="P303" s="1"/>
      <c r="Q303" s="2"/>
      <c r="R303" s="2"/>
      <c r="S303" s="2"/>
      <c r="T303" s="2"/>
      <c r="U303" s="2"/>
      <c r="V303" s="1"/>
      <c r="W303" s="1"/>
      <c r="X303" s="1"/>
      <c r="Y303" s="1"/>
      <c r="Z303" s="1"/>
      <c r="AA303" s="1"/>
      <c r="AB303" s="1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1"/>
      <c r="BY303" s="1"/>
      <c r="BZ303" s="1"/>
      <c r="CA303" s="1"/>
      <c r="CB303" s="1"/>
      <c r="CC303" s="1"/>
      <c r="CD303" s="3"/>
      <c r="CE303" s="3"/>
      <c r="CF303" s="1"/>
      <c r="CG303" s="1"/>
      <c r="CH303" s="3"/>
      <c r="CI303" s="3"/>
    </row>
    <row r="304" spans="16:87">
      <c r="P304" s="1"/>
      <c r="Q304" s="2"/>
      <c r="R304" s="2"/>
      <c r="S304" s="2"/>
      <c r="T304" s="2"/>
      <c r="U304" s="2"/>
      <c r="V304" s="1"/>
      <c r="W304" s="1"/>
      <c r="X304" s="1"/>
      <c r="Y304" s="1"/>
      <c r="Z304" s="1"/>
      <c r="AA304" s="1"/>
      <c r="AB304" s="1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1"/>
      <c r="BY304" s="1"/>
      <c r="BZ304" s="1"/>
      <c r="CA304" s="1"/>
      <c r="CB304" s="1"/>
      <c r="CC304" s="1"/>
      <c r="CD304" s="3"/>
      <c r="CE304" s="3"/>
      <c r="CF304" s="1"/>
      <c r="CG304" s="1"/>
      <c r="CH304" s="3"/>
      <c r="CI304" s="3"/>
    </row>
    <row r="305" spans="16:87">
      <c r="P305" s="1"/>
      <c r="Q305" s="2"/>
      <c r="R305" s="2"/>
      <c r="S305" s="2"/>
      <c r="T305" s="2"/>
      <c r="U305" s="2"/>
      <c r="V305" s="1"/>
      <c r="W305" s="1"/>
      <c r="X305" s="1"/>
      <c r="Y305" s="1"/>
      <c r="Z305" s="1"/>
      <c r="AA305" s="1"/>
      <c r="AB305" s="1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1"/>
      <c r="BY305" s="1"/>
      <c r="BZ305" s="1"/>
      <c r="CA305" s="1"/>
      <c r="CB305" s="1"/>
      <c r="CC305" s="1"/>
      <c r="CD305" s="3"/>
      <c r="CE305" s="3"/>
      <c r="CF305" s="1"/>
      <c r="CG305" s="1"/>
      <c r="CH305" s="3"/>
      <c r="CI305" s="3"/>
    </row>
    <row r="306" spans="16:87">
      <c r="P306" s="1"/>
      <c r="Q306" s="2"/>
      <c r="R306" s="2"/>
      <c r="S306" s="2"/>
      <c r="T306" s="2"/>
      <c r="U306" s="2"/>
      <c r="V306" s="1"/>
      <c r="W306" s="1"/>
      <c r="X306" s="1"/>
      <c r="Y306" s="1"/>
      <c r="Z306" s="1"/>
      <c r="AA306" s="1"/>
      <c r="AB306" s="1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1"/>
      <c r="BY306" s="1"/>
      <c r="BZ306" s="1"/>
      <c r="CA306" s="1"/>
      <c r="CB306" s="1"/>
      <c r="CC306" s="1"/>
      <c r="CD306" s="3"/>
      <c r="CE306" s="3"/>
      <c r="CF306" s="1"/>
      <c r="CG306" s="1"/>
      <c r="CH306" s="3"/>
      <c r="CI306" s="3"/>
    </row>
    <row r="307" spans="16:87">
      <c r="P307" s="1"/>
      <c r="Q307" s="2"/>
      <c r="R307" s="2"/>
      <c r="S307" s="2"/>
      <c r="T307" s="2"/>
      <c r="U307" s="2"/>
      <c r="V307" s="1"/>
      <c r="W307" s="1"/>
      <c r="X307" s="1"/>
      <c r="Y307" s="1"/>
      <c r="Z307" s="1"/>
      <c r="AA307" s="1"/>
      <c r="AB307" s="1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1"/>
      <c r="BY307" s="1"/>
      <c r="BZ307" s="1"/>
      <c r="CA307" s="1"/>
      <c r="CB307" s="1"/>
      <c r="CC307" s="1"/>
      <c r="CD307" s="3"/>
      <c r="CE307" s="3"/>
      <c r="CF307" s="1"/>
      <c r="CG307" s="1"/>
      <c r="CH307" s="3"/>
      <c r="CI307" s="3"/>
    </row>
    <row r="308" spans="16:87">
      <c r="P308" s="1"/>
      <c r="Q308" s="2"/>
      <c r="R308" s="2"/>
      <c r="S308" s="2"/>
      <c r="T308" s="2"/>
      <c r="U308" s="2"/>
      <c r="V308" s="1"/>
      <c r="W308" s="1"/>
      <c r="X308" s="1"/>
      <c r="Y308" s="1"/>
      <c r="Z308" s="1"/>
      <c r="AA308" s="1"/>
      <c r="AB308" s="1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1"/>
      <c r="BY308" s="1"/>
      <c r="BZ308" s="1"/>
      <c r="CA308" s="1"/>
      <c r="CB308" s="1"/>
      <c r="CC308" s="1"/>
      <c r="CD308" s="3"/>
      <c r="CE308" s="3"/>
      <c r="CF308" s="1"/>
      <c r="CG308" s="1"/>
      <c r="CH308" s="3"/>
      <c r="CI308" s="3"/>
    </row>
    <row r="309" spans="16:87">
      <c r="P309" s="1"/>
      <c r="Q309" s="2"/>
      <c r="R309" s="2"/>
      <c r="S309" s="2"/>
      <c r="T309" s="2"/>
      <c r="U309" s="2"/>
      <c r="V309" s="1"/>
      <c r="W309" s="1"/>
      <c r="X309" s="1"/>
      <c r="Y309" s="1"/>
      <c r="Z309" s="1"/>
      <c r="AA309" s="1"/>
      <c r="AB309" s="1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1"/>
      <c r="BY309" s="1"/>
      <c r="BZ309" s="1"/>
      <c r="CA309" s="1"/>
      <c r="CB309" s="1"/>
      <c r="CC309" s="1"/>
      <c r="CD309" s="3"/>
      <c r="CE309" s="3"/>
      <c r="CF309" s="1"/>
      <c r="CG309" s="1"/>
      <c r="CH309" s="3"/>
      <c r="CI309" s="3"/>
    </row>
    <row r="310" spans="16:87">
      <c r="P310" s="1"/>
      <c r="Q310" s="2"/>
      <c r="R310" s="2"/>
      <c r="S310" s="2"/>
      <c r="T310" s="2"/>
      <c r="U310" s="2"/>
      <c r="V310" s="1"/>
      <c r="W310" s="1"/>
      <c r="X310" s="1"/>
      <c r="Y310" s="1"/>
      <c r="Z310" s="1"/>
      <c r="AA310" s="1"/>
      <c r="AB310" s="1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1"/>
      <c r="BY310" s="1"/>
      <c r="BZ310" s="1"/>
      <c r="CA310" s="1"/>
      <c r="CB310" s="1"/>
      <c r="CC310" s="1"/>
      <c r="CD310" s="3"/>
      <c r="CE310" s="3"/>
      <c r="CF310" s="1"/>
      <c r="CG310" s="1"/>
      <c r="CH310" s="3"/>
      <c r="CI310" s="3"/>
    </row>
    <row r="311" spans="16:87">
      <c r="P311" s="1"/>
      <c r="Q311" s="2"/>
      <c r="R311" s="2"/>
      <c r="S311" s="2"/>
      <c r="T311" s="2"/>
      <c r="U311" s="2"/>
      <c r="V311" s="1"/>
      <c r="W311" s="1"/>
      <c r="X311" s="1"/>
      <c r="Y311" s="1"/>
      <c r="Z311" s="1"/>
      <c r="AA311" s="1"/>
      <c r="AB311" s="1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1"/>
      <c r="BY311" s="1"/>
      <c r="BZ311" s="1"/>
      <c r="CA311" s="1"/>
      <c r="CB311" s="1"/>
      <c r="CC311" s="1"/>
      <c r="CD311" s="3"/>
      <c r="CE311" s="3"/>
      <c r="CF311" s="1"/>
      <c r="CG311" s="1"/>
      <c r="CH311" s="3"/>
      <c r="CI311" s="3"/>
    </row>
    <row r="312" spans="16:87">
      <c r="P312" s="1"/>
      <c r="Q312" s="2"/>
      <c r="R312" s="2"/>
      <c r="S312" s="2"/>
      <c r="T312" s="2"/>
      <c r="U312" s="2"/>
      <c r="V312" s="1"/>
      <c r="W312" s="1"/>
      <c r="X312" s="1"/>
      <c r="Y312" s="1"/>
      <c r="Z312" s="1"/>
      <c r="AA312" s="1"/>
      <c r="AB312" s="1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1"/>
      <c r="BY312" s="1"/>
      <c r="BZ312" s="1"/>
      <c r="CA312" s="1"/>
      <c r="CB312" s="1"/>
      <c r="CC312" s="1"/>
      <c r="CD312" s="3"/>
      <c r="CE312" s="3"/>
      <c r="CF312" s="1"/>
      <c r="CG312" s="1"/>
      <c r="CH312" s="3"/>
      <c r="CI312" s="3"/>
    </row>
    <row r="313" spans="16:87">
      <c r="P313" s="1"/>
      <c r="Q313" s="2"/>
      <c r="R313" s="2"/>
      <c r="S313" s="2"/>
      <c r="T313" s="2"/>
      <c r="U313" s="2"/>
      <c r="V313" s="1"/>
      <c r="W313" s="1"/>
      <c r="X313" s="1"/>
      <c r="Y313" s="1"/>
      <c r="Z313" s="1"/>
      <c r="AA313" s="1"/>
      <c r="AB313" s="1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1"/>
      <c r="BY313" s="1"/>
      <c r="BZ313" s="1"/>
      <c r="CA313" s="1"/>
      <c r="CB313" s="1"/>
      <c r="CC313" s="1"/>
      <c r="CD313" s="3"/>
      <c r="CE313" s="3"/>
      <c r="CF313" s="1"/>
      <c r="CG313" s="1"/>
      <c r="CH313" s="3"/>
      <c r="CI313" s="3"/>
    </row>
    <row r="314" spans="16:87">
      <c r="P314" s="1"/>
      <c r="Q314" s="2"/>
      <c r="R314" s="2"/>
      <c r="S314" s="2"/>
      <c r="T314" s="2"/>
      <c r="U314" s="2"/>
      <c r="V314" s="1"/>
      <c r="W314" s="1"/>
      <c r="X314" s="1"/>
      <c r="Y314" s="1"/>
      <c r="Z314" s="1"/>
      <c r="AA314" s="1"/>
      <c r="AB314" s="1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1"/>
      <c r="BY314" s="1"/>
      <c r="BZ314" s="1"/>
      <c r="CA314" s="1"/>
      <c r="CB314" s="1"/>
      <c r="CC314" s="1"/>
      <c r="CD314" s="3"/>
      <c r="CE314" s="3"/>
      <c r="CF314" s="1"/>
      <c r="CG314" s="1"/>
      <c r="CH314" s="3"/>
      <c r="CI314" s="3"/>
    </row>
    <row r="315" spans="16:87">
      <c r="P315" s="1"/>
      <c r="Q315" s="2"/>
      <c r="R315" s="2"/>
      <c r="S315" s="2"/>
      <c r="T315" s="2"/>
      <c r="U315" s="2"/>
      <c r="V315" s="1"/>
      <c r="W315" s="1"/>
      <c r="X315" s="1"/>
      <c r="Y315" s="1"/>
      <c r="Z315" s="1"/>
      <c r="AA315" s="1"/>
      <c r="AB315" s="1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1"/>
      <c r="BY315" s="1"/>
      <c r="BZ315" s="1"/>
      <c r="CA315" s="1"/>
      <c r="CB315" s="1"/>
      <c r="CC315" s="1"/>
      <c r="CD315" s="3"/>
      <c r="CE315" s="3"/>
      <c r="CF315" s="1"/>
      <c r="CG315" s="1"/>
      <c r="CH315" s="3"/>
      <c r="CI315" s="3"/>
    </row>
    <row r="316" spans="16:87">
      <c r="P316" s="1"/>
      <c r="Q316" s="2"/>
      <c r="R316" s="2"/>
      <c r="S316" s="2"/>
      <c r="T316" s="2"/>
      <c r="U316" s="2"/>
      <c r="V316" s="1"/>
      <c r="W316" s="1"/>
      <c r="X316" s="1"/>
      <c r="Y316" s="1"/>
      <c r="Z316" s="1"/>
      <c r="AA316" s="1"/>
      <c r="AB316" s="1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1"/>
      <c r="BY316" s="1"/>
      <c r="BZ316" s="1"/>
      <c r="CA316" s="1"/>
      <c r="CB316" s="1"/>
      <c r="CC316" s="1"/>
      <c r="CD316" s="3"/>
      <c r="CE316" s="3"/>
      <c r="CF316" s="1"/>
      <c r="CG316" s="1"/>
      <c r="CH316" s="3"/>
      <c r="CI316" s="3"/>
    </row>
    <row r="317" spans="16:87">
      <c r="P317" s="1"/>
      <c r="Q317" s="2"/>
      <c r="R317" s="2"/>
      <c r="S317" s="2"/>
      <c r="T317" s="2"/>
      <c r="U317" s="2"/>
      <c r="V317" s="1"/>
      <c r="W317" s="1"/>
      <c r="X317" s="1"/>
      <c r="Y317" s="1"/>
      <c r="Z317" s="1"/>
      <c r="AA317" s="1"/>
      <c r="AB317" s="1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1"/>
      <c r="BY317" s="1"/>
      <c r="BZ317" s="1"/>
      <c r="CA317" s="1"/>
      <c r="CB317" s="1"/>
      <c r="CC317" s="1"/>
      <c r="CD317" s="3"/>
      <c r="CE317" s="3"/>
      <c r="CF317" s="1"/>
      <c r="CG317" s="1"/>
      <c r="CH317" s="3"/>
      <c r="CI317" s="3"/>
    </row>
    <row r="318" spans="16:87">
      <c r="P318" s="1"/>
      <c r="Q318" s="2"/>
      <c r="R318" s="2"/>
      <c r="S318" s="2"/>
      <c r="T318" s="2"/>
      <c r="U318" s="2"/>
      <c r="V318" s="1"/>
      <c r="W318" s="1"/>
      <c r="X318" s="1"/>
      <c r="Y318" s="1"/>
      <c r="Z318" s="1"/>
      <c r="AA318" s="1"/>
      <c r="AB318" s="1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1"/>
      <c r="BY318" s="1"/>
      <c r="BZ318" s="1"/>
      <c r="CA318" s="1"/>
      <c r="CB318" s="1"/>
      <c r="CC318" s="1"/>
      <c r="CD318" s="3"/>
      <c r="CE318" s="3"/>
      <c r="CF318" s="1"/>
      <c r="CG318" s="1"/>
      <c r="CH318" s="3"/>
      <c r="CI318" s="3"/>
    </row>
    <row r="319" spans="16:87">
      <c r="P319" s="1"/>
      <c r="Q319" s="2"/>
      <c r="R319" s="2"/>
      <c r="S319" s="2"/>
      <c r="T319" s="2"/>
      <c r="U319" s="2"/>
      <c r="V319" s="1"/>
      <c r="W319" s="1"/>
      <c r="X319" s="1"/>
      <c r="Y319" s="1"/>
      <c r="Z319" s="1"/>
      <c r="AA319" s="1"/>
      <c r="AB319" s="1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1"/>
      <c r="BY319" s="1"/>
      <c r="BZ319" s="1"/>
      <c r="CA319" s="1"/>
      <c r="CB319" s="1"/>
      <c r="CC319" s="1"/>
      <c r="CD319" s="3"/>
      <c r="CE319" s="3"/>
      <c r="CF319" s="1"/>
      <c r="CG319" s="1"/>
      <c r="CH319" s="3"/>
      <c r="CI319" s="3"/>
    </row>
    <row r="320" spans="16:87">
      <c r="P320" s="1"/>
      <c r="Q320" s="2"/>
      <c r="R320" s="2"/>
      <c r="S320" s="2"/>
      <c r="T320" s="2"/>
      <c r="U320" s="2"/>
      <c r="V320" s="1"/>
      <c r="W320" s="1"/>
      <c r="X320" s="1"/>
      <c r="Y320" s="1"/>
      <c r="Z320" s="1"/>
      <c r="AA320" s="1"/>
      <c r="AB320" s="1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1"/>
      <c r="BY320" s="1"/>
      <c r="BZ320" s="1"/>
      <c r="CA320" s="1"/>
      <c r="CB320" s="1"/>
      <c r="CC320" s="1"/>
      <c r="CD320" s="3"/>
      <c r="CE320" s="3"/>
      <c r="CF320" s="1"/>
      <c r="CG320" s="1"/>
      <c r="CH320" s="3"/>
      <c r="CI320" s="3"/>
    </row>
    <row r="321" spans="16:87">
      <c r="P321" s="1"/>
      <c r="Q321" s="2"/>
      <c r="R321" s="2"/>
      <c r="S321" s="2"/>
      <c r="T321" s="2"/>
      <c r="U321" s="2"/>
      <c r="V321" s="1"/>
      <c r="W321" s="1"/>
      <c r="X321" s="1"/>
      <c r="Y321" s="1"/>
      <c r="Z321" s="1"/>
      <c r="AA321" s="1"/>
      <c r="AB321" s="1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1"/>
      <c r="BY321" s="1"/>
      <c r="BZ321" s="1"/>
      <c r="CA321" s="1"/>
      <c r="CB321" s="1"/>
      <c r="CC321" s="1"/>
      <c r="CD321" s="3"/>
      <c r="CE321" s="3"/>
      <c r="CF321" s="1"/>
      <c r="CG321" s="1"/>
      <c r="CH321" s="3"/>
      <c r="CI321" s="3"/>
    </row>
    <row r="322" spans="16:87">
      <c r="P322" s="1"/>
      <c r="Q322" s="2"/>
      <c r="R322" s="2"/>
      <c r="S322" s="2"/>
      <c r="T322" s="2"/>
      <c r="U322" s="2"/>
      <c r="V322" s="1"/>
      <c r="W322" s="1"/>
      <c r="X322" s="1"/>
      <c r="Y322" s="1"/>
      <c r="Z322" s="1"/>
      <c r="AA322" s="1"/>
      <c r="AB322" s="1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1"/>
      <c r="BY322" s="1"/>
      <c r="BZ322" s="1"/>
      <c r="CA322" s="1"/>
      <c r="CB322" s="1"/>
      <c r="CC322" s="1"/>
      <c r="CD322" s="3"/>
      <c r="CE322" s="3"/>
      <c r="CF322" s="1"/>
      <c r="CG322" s="1"/>
      <c r="CH322" s="3"/>
      <c r="CI322" s="3"/>
    </row>
    <row r="323" spans="16:87">
      <c r="P323" s="1"/>
      <c r="Q323" s="2"/>
      <c r="R323" s="2"/>
      <c r="S323" s="2"/>
      <c r="T323" s="2"/>
      <c r="U323" s="2"/>
      <c r="V323" s="1"/>
      <c r="W323" s="1"/>
      <c r="X323" s="1"/>
      <c r="Y323" s="1"/>
      <c r="Z323" s="1"/>
      <c r="AA323" s="1"/>
      <c r="AB323" s="1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1"/>
      <c r="BY323" s="1"/>
      <c r="BZ323" s="1"/>
      <c r="CA323" s="1"/>
      <c r="CB323" s="1"/>
      <c r="CC323" s="1"/>
      <c r="CD323" s="3"/>
      <c r="CE323" s="3"/>
      <c r="CF323" s="1"/>
      <c r="CG323" s="1"/>
      <c r="CH323" s="3"/>
      <c r="CI323" s="3"/>
    </row>
    <row r="324" spans="16:87">
      <c r="P324" s="1"/>
      <c r="Q324" s="2"/>
      <c r="R324" s="2"/>
      <c r="S324" s="2"/>
      <c r="T324" s="2"/>
      <c r="U324" s="2"/>
      <c r="V324" s="1"/>
      <c r="W324" s="1"/>
      <c r="X324" s="1"/>
      <c r="Y324" s="1"/>
      <c r="Z324" s="1"/>
      <c r="AA324" s="1"/>
      <c r="AB324" s="1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1"/>
      <c r="BY324" s="1"/>
      <c r="BZ324" s="1"/>
      <c r="CA324" s="1"/>
      <c r="CB324" s="1"/>
      <c r="CC324" s="1"/>
      <c r="CD324" s="3"/>
      <c r="CE324" s="3"/>
      <c r="CF324" s="1"/>
      <c r="CG324" s="1"/>
      <c r="CH324" s="3"/>
      <c r="CI324" s="3"/>
    </row>
    <row r="325" spans="16:87">
      <c r="P325" s="1"/>
      <c r="Q325" s="2"/>
      <c r="R325" s="2"/>
      <c r="S325" s="2"/>
      <c r="T325" s="2"/>
      <c r="U325" s="2"/>
      <c r="V325" s="1"/>
      <c r="W325" s="1"/>
      <c r="X325" s="1"/>
      <c r="Y325" s="1"/>
      <c r="Z325" s="1"/>
      <c r="AA325" s="1"/>
      <c r="AB325" s="1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1"/>
      <c r="BY325" s="1"/>
      <c r="BZ325" s="1"/>
      <c r="CA325" s="1"/>
      <c r="CB325" s="1"/>
      <c r="CC325" s="1"/>
      <c r="CD325" s="3"/>
      <c r="CE325" s="3"/>
      <c r="CF325" s="1"/>
      <c r="CG325" s="1"/>
      <c r="CH325" s="3"/>
      <c r="CI325" s="3"/>
    </row>
    <row r="326" spans="16:87">
      <c r="P326" s="1"/>
      <c r="Q326" s="2"/>
      <c r="R326" s="2"/>
      <c r="S326" s="2"/>
      <c r="T326" s="2"/>
      <c r="U326" s="2"/>
      <c r="V326" s="1"/>
      <c r="W326" s="1"/>
      <c r="X326" s="1"/>
      <c r="Y326" s="1"/>
      <c r="Z326" s="1"/>
      <c r="AA326" s="1"/>
      <c r="AB326" s="1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1"/>
      <c r="BY326" s="1"/>
      <c r="BZ326" s="1"/>
      <c r="CA326" s="1"/>
      <c r="CB326" s="1"/>
      <c r="CC326" s="1"/>
      <c r="CD326" s="3"/>
      <c r="CE326" s="3"/>
      <c r="CF326" s="1"/>
      <c r="CG326" s="1"/>
      <c r="CH326" s="3"/>
      <c r="CI326" s="3"/>
    </row>
    <row r="327" spans="16:87">
      <c r="P327" s="1"/>
      <c r="Q327" s="2"/>
      <c r="R327" s="2"/>
      <c r="S327" s="2"/>
      <c r="T327" s="2"/>
      <c r="U327" s="2"/>
      <c r="V327" s="1"/>
      <c r="W327" s="1"/>
      <c r="X327" s="1"/>
      <c r="Y327" s="1"/>
      <c r="Z327" s="1"/>
      <c r="AA327" s="1"/>
      <c r="AB327" s="1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1"/>
      <c r="BY327" s="1"/>
      <c r="BZ327" s="1"/>
      <c r="CA327" s="1"/>
      <c r="CB327" s="1"/>
      <c r="CC327" s="1"/>
      <c r="CD327" s="3"/>
      <c r="CE327" s="3"/>
      <c r="CF327" s="1"/>
      <c r="CG327" s="1"/>
      <c r="CH327" s="3"/>
      <c r="CI327" s="3"/>
    </row>
    <row r="328" spans="16:87">
      <c r="P328" s="1"/>
      <c r="Q328" s="2"/>
      <c r="R328" s="2"/>
      <c r="S328" s="2"/>
      <c r="T328" s="2"/>
      <c r="U328" s="2"/>
      <c r="V328" s="1"/>
      <c r="W328" s="1"/>
      <c r="X328" s="1"/>
      <c r="Y328" s="1"/>
      <c r="Z328" s="1"/>
      <c r="AA328" s="1"/>
      <c r="AB328" s="1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1"/>
      <c r="BY328" s="1"/>
      <c r="BZ328" s="1"/>
      <c r="CA328" s="1"/>
      <c r="CB328" s="1"/>
      <c r="CC328" s="1"/>
      <c r="CD328" s="3"/>
      <c r="CE328" s="3"/>
      <c r="CF328" s="1"/>
      <c r="CG328" s="1"/>
      <c r="CH328" s="3"/>
      <c r="CI328" s="3"/>
    </row>
    <row r="329" spans="16:87">
      <c r="P329" s="1"/>
      <c r="Q329" s="2"/>
      <c r="R329" s="2"/>
      <c r="S329" s="2"/>
      <c r="T329" s="2"/>
      <c r="U329" s="2"/>
      <c r="V329" s="1"/>
      <c r="W329" s="1"/>
      <c r="X329" s="1"/>
      <c r="Y329" s="1"/>
      <c r="Z329" s="1"/>
      <c r="AA329" s="1"/>
      <c r="AB329" s="1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1"/>
      <c r="BY329" s="1"/>
      <c r="BZ329" s="1"/>
      <c r="CA329" s="1"/>
      <c r="CB329" s="1"/>
      <c r="CC329" s="1"/>
      <c r="CD329" s="3"/>
      <c r="CE329" s="3"/>
      <c r="CF329" s="1"/>
      <c r="CG329" s="1"/>
      <c r="CH329" s="3"/>
      <c r="CI329" s="3"/>
    </row>
    <row r="330" spans="16:87">
      <c r="P330" s="1"/>
      <c r="Q330" s="2"/>
      <c r="R330" s="2"/>
      <c r="S330" s="2"/>
      <c r="T330" s="2"/>
      <c r="U330" s="2"/>
      <c r="V330" s="1"/>
      <c r="W330" s="1"/>
      <c r="X330" s="1"/>
      <c r="Y330" s="1"/>
      <c r="Z330" s="1"/>
      <c r="AA330" s="1"/>
      <c r="AB330" s="1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1"/>
      <c r="BY330" s="1"/>
      <c r="BZ330" s="1"/>
      <c r="CA330" s="1"/>
      <c r="CB330" s="1"/>
      <c r="CC330" s="1"/>
      <c r="CD330" s="3"/>
      <c r="CE330" s="3"/>
      <c r="CF330" s="1"/>
      <c r="CG330" s="1"/>
      <c r="CH330" s="3"/>
      <c r="CI330" s="3"/>
    </row>
    <row r="331" spans="16:87">
      <c r="P331" s="1"/>
      <c r="Q331" s="2"/>
      <c r="R331" s="2"/>
      <c r="S331" s="2"/>
      <c r="T331" s="2"/>
      <c r="U331" s="2"/>
      <c r="V331" s="1"/>
      <c r="W331" s="1"/>
      <c r="X331" s="1"/>
      <c r="Y331" s="1"/>
      <c r="Z331" s="1"/>
      <c r="AA331" s="1"/>
      <c r="AB331" s="1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1"/>
      <c r="BY331" s="1"/>
      <c r="BZ331" s="1"/>
      <c r="CA331" s="1"/>
      <c r="CB331" s="1"/>
      <c r="CC331" s="1"/>
      <c r="CD331" s="3"/>
      <c r="CE331" s="3"/>
      <c r="CF331" s="1"/>
      <c r="CG331" s="1"/>
      <c r="CH331" s="3"/>
      <c r="CI331" s="3"/>
    </row>
    <row r="332" spans="16:87">
      <c r="P332" s="1"/>
      <c r="Q332" s="2"/>
      <c r="R332" s="2"/>
      <c r="S332" s="2"/>
      <c r="T332" s="2"/>
      <c r="U332" s="2"/>
      <c r="V332" s="1"/>
      <c r="W332" s="1"/>
      <c r="X332" s="1"/>
      <c r="Y332" s="1"/>
      <c r="Z332" s="1"/>
      <c r="AA332" s="1"/>
      <c r="AB332" s="1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1"/>
      <c r="BY332" s="1"/>
      <c r="BZ332" s="1"/>
      <c r="CA332" s="1"/>
      <c r="CB332" s="1"/>
      <c r="CC332" s="1"/>
      <c r="CD332" s="3"/>
      <c r="CE332" s="3"/>
      <c r="CF332" s="1"/>
      <c r="CG332" s="1"/>
      <c r="CH332" s="3"/>
      <c r="CI332" s="3"/>
    </row>
    <row r="333" spans="16:87">
      <c r="P333" s="1"/>
      <c r="Q333" s="2"/>
      <c r="R333" s="2"/>
      <c r="S333" s="2"/>
      <c r="T333" s="2"/>
      <c r="U333" s="2"/>
      <c r="V333" s="1"/>
      <c r="W333" s="1"/>
      <c r="X333" s="1"/>
      <c r="Y333" s="1"/>
      <c r="Z333" s="1"/>
      <c r="AA333" s="1"/>
      <c r="AB333" s="1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1"/>
      <c r="BY333" s="1"/>
      <c r="BZ333" s="1"/>
      <c r="CA333" s="1"/>
      <c r="CB333" s="1"/>
      <c r="CC333" s="1"/>
      <c r="CD333" s="3"/>
      <c r="CE333" s="3"/>
      <c r="CF333" s="1"/>
      <c r="CG333" s="1"/>
      <c r="CH333" s="3"/>
      <c r="CI333" s="3"/>
    </row>
    <row r="334" spans="16:87">
      <c r="P334" s="1"/>
      <c r="Q334" s="2"/>
      <c r="R334" s="2"/>
      <c r="S334" s="2"/>
      <c r="T334" s="2"/>
      <c r="U334" s="2"/>
      <c r="V334" s="1"/>
      <c r="W334" s="1"/>
      <c r="X334" s="1"/>
      <c r="Y334" s="1"/>
      <c r="Z334" s="1"/>
      <c r="AA334" s="1"/>
      <c r="AB334" s="1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1"/>
      <c r="BY334" s="1"/>
      <c r="BZ334" s="1"/>
      <c r="CA334" s="1"/>
      <c r="CB334" s="1"/>
      <c r="CC334" s="1"/>
      <c r="CD334" s="3"/>
      <c r="CE334" s="3"/>
      <c r="CF334" s="1"/>
      <c r="CG334" s="1"/>
      <c r="CH334" s="3"/>
      <c r="CI334" s="3"/>
    </row>
    <row r="335" spans="16:87">
      <c r="P335" s="1"/>
      <c r="Q335" s="2"/>
      <c r="R335" s="2"/>
      <c r="S335" s="2"/>
      <c r="T335" s="2"/>
      <c r="U335" s="2"/>
      <c r="V335" s="1"/>
      <c r="W335" s="1"/>
      <c r="X335" s="1"/>
      <c r="Y335" s="1"/>
      <c r="Z335" s="1"/>
      <c r="AA335" s="1"/>
      <c r="AB335" s="1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1"/>
      <c r="BY335" s="1"/>
      <c r="BZ335" s="1"/>
      <c r="CA335" s="1"/>
      <c r="CB335" s="1"/>
      <c r="CC335" s="1"/>
      <c r="CD335" s="3"/>
      <c r="CE335" s="3"/>
      <c r="CF335" s="1"/>
      <c r="CG335" s="1"/>
      <c r="CH335" s="3"/>
      <c r="CI335" s="3"/>
    </row>
    <row r="336" spans="16:87">
      <c r="P336" s="1"/>
      <c r="Q336" s="2"/>
      <c r="R336" s="2"/>
      <c r="S336" s="2"/>
      <c r="T336" s="2"/>
      <c r="U336" s="2"/>
      <c r="V336" s="1"/>
      <c r="W336" s="1"/>
      <c r="X336" s="1"/>
      <c r="Y336" s="1"/>
      <c r="Z336" s="1"/>
      <c r="AA336" s="1"/>
      <c r="AB336" s="1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1"/>
      <c r="BY336" s="1"/>
      <c r="BZ336" s="1"/>
      <c r="CA336" s="1"/>
      <c r="CB336" s="1"/>
      <c r="CC336" s="1"/>
      <c r="CD336" s="3"/>
      <c r="CE336" s="3"/>
      <c r="CF336" s="1"/>
      <c r="CG336" s="1"/>
      <c r="CH336" s="3"/>
      <c r="CI336" s="3"/>
    </row>
    <row r="337" spans="16:87">
      <c r="P337" s="1"/>
      <c r="Q337" s="2"/>
      <c r="R337" s="2"/>
      <c r="S337" s="2"/>
      <c r="T337" s="2"/>
      <c r="U337" s="2"/>
      <c r="V337" s="1"/>
      <c r="W337" s="1"/>
      <c r="X337" s="1"/>
      <c r="Y337" s="1"/>
      <c r="Z337" s="1"/>
      <c r="AA337" s="1"/>
      <c r="AB337" s="1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1"/>
      <c r="BY337" s="1"/>
      <c r="BZ337" s="1"/>
      <c r="CA337" s="1"/>
      <c r="CB337" s="1"/>
      <c r="CC337" s="1"/>
      <c r="CD337" s="3"/>
      <c r="CE337" s="3"/>
      <c r="CF337" s="1"/>
      <c r="CG337" s="1"/>
      <c r="CH337" s="3"/>
      <c r="CI337" s="3"/>
    </row>
    <row r="338" spans="16:87">
      <c r="P338" s="1"/>
      <c r="Q338" s="2"/>
      <c r="R338" s="2"/>
      <c r="S338" s="2"/>
      <c r="T338" s="2"/>
      <c r="U338" s="2"/>
      <c r="V338" s="1"/>
      <c r="W338" s="1"/>
      <c r="X338" s="1"/>
      <c r="Y338" s="1"/>
      <c r="Z338" s="1"/>
      <c r="AA338" s="1"/>
      <c r="AB338" s="1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1"/>
      <c r="BY338" s="1"/>
      <c r="BZ338" s="1"/>
      <c r="CA338" s="1"/>
      <c r="CB338" s="1"/>
      <c r="CC338" s="1"/>
      <c r="CD338" s="3"/>
      <c r="CE338" s="3"/>
      <c r="CF338" s="1"/>
      <c r="CG338" s="1"/>
      <c r="CH338" s="3"/>
      <c r="CI338" s="3"/>
    </row>
    <row r="339" spans="16:87">
      <c r="P339" s="1"/>
      <c r="Q339" s="2"/>
      <c r="R339" s="2"/>
      <c r="S339" s="2"/>
      <c r="T339" s="2"/>
      <c r="U339" s="2"/>
      <c r="V339" s="1"/>
      <c r="W339" s="1"/>
      <c r="X339" s="1"/>
      <c r="Y339" s="1"/>
      <c r="Z339" s="1"/>
      <c r="AA339" s="1"/>
      <c r="AB339" s="1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1"/>
      <c r="BY339" s="1"/>
      <c r="BZ339" s="1"/>
      <c r="CA339" s="1"/>
      <c r="CB339" s="1"/>
      <c r="CC339" s="1"/>
      <c r="CD339" s="3"/>
      <c r="CE339" s="3"/>
      <c r="CF339" s="1"/>
      <c r="CG339" s="1"/>
      <c r="CH339" s="3"/>
      <c r="CI339" s="3"/>
    </row>
    <row r="340" spans="16:87">
      <c r="P340" s="1"/>
      <c r="Q340" s="2"/>
      <c r="R340" s="2"/>
      <c r="S340" s="2"/>
      <c r="T340" s="2"/>
      <c r="U340" s="2"/>
      <c r="V340" s="1"/>
      <c r="W340" s="1"/>
      <c r="X340" s="1"/>
      <c r="Y340" s="1"/>
      <c r="Z340" s="1"/>
      <c r="AA340" s="1"/>
      <c r="AB340" s="1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1"/>
      <c r="BY340" s="1"/>
      <c r="BZ340" s="1"/>
      <c r="CA340" s="1"/>
      <c r="CB340" s="1"/>
      <c r="CC340" s="1"/>
      <c r="CD340" s="3"/>
      <c r="CE340" s="3"/>
      <c r="CF340" s="1"/>
      <c r="CG340" s="1"/>
      <c r="CH340" s="3"/>
      <c r="CI340" s="3"/>
    </row>
    <row r="341" spans="16:87">
      <c r="P341" s="1"/>
      <c r="Q341" s="2"/>
      <c r="R341" s="2"/>
      <c r="S341" s="2"/>
      <c r="T341" s="2"/>
      <c r="U341" s="2"/>
      <c r="V341" s="1"/>
      <c r="W341" s="1"/>
      <c r="X341" s="1"/>
      <c r="Y341" s="1"/>
      <c r="Z341" s="1"/>
      <c r="AA341" s="1"/>
      <c r="AB341" s="1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1"/>
      <c r="BY341" s="1"/>
      <c r="BZ341" s="1"/>
      <c r="CA341" s="1"/>
      <c r="CB341" s="1"/>
      <c r="CC341" s="1"/>
      <c r="CD341" s="3"/>
      <c r="CE341" s="3"/>
      <c r="CF341" s="1"/>
      <c r="CG341" s="1"/>
      <c r="CH341" s="3"/>
      <c r="CI341" s="3"/>
    </row>
    <row r="342" spans="16:87">
      <c r="P342" s="1"/>
      <c r="Q342" s="2"/>
      <c r="R342" s="2"/>
      <c r="S342" s="2"/>
      <c r="T342" s="2"/>
      <c r="U342" s="2"/>
      <c r="V342" s="1"/>
      <c r="W342" s="1"/>
      <c r="X342" s="1"/>
      <c r="Y342" s="1"/>
      <c r="Z342" s="1"/>
      <c r="AA342" s="1"/>
      <c r="AB342" s="1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1"/>
      <c r="BY342" s="1"/>
      <c r="BZ342" s="1"/>
      <c r="CA342" s="1"/>
      <c r="CB342" s="1"/>
      <c r="CC342" s="1"/>
      <c r="CD342" s="3"/>
      <c r="CE342" s="3"/>
      <c r="CF342" s="1"/>
      <c r="CG342" s="1"/>
      <c r="CH342" s="3"/>
      <c r="CI342" s="3"/>
    </row>
    <row r="343" spans="16:87">
      <c r="P343" s="1"/>
      <c r="Q343" s="2"/>
      <c r="R343" s="2"/>
      <c r="S343" s="2"/>
      <c r="T343" s="2"/>
      <c r="U343" s="2"/>
      <c r="V343" s="1"/>
      <c r="W343" s="1"/>
      <c r="X343" s="1"/>
      <c r="Y343" s="1"/>
      <c r="Z343" s="1"/>
      <c r="AA343" s="1"/>
      <c r="AB343" s="1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1"/>
      <c r="BY343" s="1"/>
      <c r="BZ343" s="1"/>
      <c r="CA343" s="1"/>
      <c r="CB343" s="1"/>
      <c r="CC343" s="1"/>
      <c r="CD343" s="3"/>
      <c r="CE343" s="3"/>
      <c r="CF343" s="1"/>
      <c r="CG343" s="1"/>
      <c r="CH343" s="3"/>
      <c r="CI343" s="3"/>
    </row>
    <row r="344" spans="16:87">
      <c r="P344" s="1"/>
      <c r="Q344" s="2"/>
      <c r="R344" s="2"/>
      <c r="S344" s="2"/>
      <c r="T344" s="2"/>
      <c r="U344" s="2"/>
      <c r="V344" s="1"/>
      <c r="W344" s="1"/>
      <c r="X344" s="1"/>
      <c r="Y344" s="1"/>
      <c r="Z344" s="1"/>
      <c r="AA344" s="1"/>
      <c r="AB344" s="1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1"/>
      <c r="BY344" s="1"/>
      <c r="BZ344" s="1"/>
      <c r="CA344" s="1"/>
      <c r="CB344" s="1"/>
      <c r="CC344" s="1"/>
      <c r="CD344" s="3"/>
      <c r="CE344" s="3"/>
      <c r="CF344" s="1"/>
      <c r="CG344" s="1"/>
      <c r="CH344" s="3"/>
      <c r="CI344" s="3"/>
    </row>
    <row r="345" spans="16:87">
      <c r="P345" s="1"/>
      <c r="Q345" s="2"/>
      <c r="R345" s="2"/>
      <c r="S345" s="2"/>
      <c r="T345" s="2"/>
      <c r="U345" s="2"/>
      <c r="V345" s="1"/>
      <c r="W345" s="1"/>
      <c r="X345" s="1"/>
      <c r="Y345" s="1"/>
      <c r="Z345" s="1"/>
      <c r="AA345" s="1"/>
      <c r="AB345" s="1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1"/>
      <c r="BY345" s="1"/>
      <c r="BZ345" s="1"/>
      <c r="CA345" s="1"/>
      <c r="CB345" s="1"/>
      <c r="CC345" s="1"/>
      <c r="CD345" s="3"/>
      <c r="CE345" s="3"/>
      <c r="CF345" s="1"/>
      <c r="CG345" s="1"/>
      <c r="CH345" s="3"/>
      <c r="CI345" s="3"/>
    </row>
    <row r="346" spans="16:87">
      <c r="P346" s="1"/>
      <c r="Q346" s="2"/>
      <c r="R346" s="2"/>
      <c r="S346" s="2"/>
      <c r="T346" s="2"/>
      <c r="U346" s="2"/>
      <c r="V346" s="1"/>
      <c r="W346" s="1"/>
      <c r="X346" s="1"/>
      <c r="Y346" s="1"/>
      <c r="Z346" s="1"/>
      <c r="AA346" s="1"/>
      <c r="AB346" s="1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1"/>
      <c r="BY346" s="1"/>
      <c r="BZ346" s="1"/>
      <c r="CA346" s="1"/>
      <c r="CB346" s="1"/>
      <c r="CC346" s="1"/>
      <c r="CD346" s="3"/>
      <c r="CE346" s="3"/>
      <c r="CF346" s="1"/>
      <c r="CG346" s="1"/>
      <c r="CH346" s="3"/>
      <c r="CI346" s="3"/>
    </row>
    <row r="347" spans="16:87">
      <c r="P347" s="1"/>
      <c r="Q347" s="2"/>
      <c r="R347" s="2"/>
      <c r="S347" s="2"/>
      <c r="T347" s="2"/>
      <c r="U347" s="2"/>
      <c r="V347" s="1"/>
      <c r="W347" s="1"/>
      <c r="X347" s="1"/>
      <c r="Y347" s="1"/>
      <c r="Z347" s="1"/>
      <c r="AA347" s="1"/>
      <c r="AB347" s="1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1"/>
      <c r="BY347" s="1"/>
      <c r="BZ347" s="1"/>
      <c r="CA347" s="1"/>
      <c r="CB347" s="1"/>
      <c r="CC347" s="1"/>
      <c r="CD347" s="3"/>
      <c r="CE347" s="3"/>
      <c r="CF347" s="1"/>
      <c r="CG347" s="1"/>
      <c r="CH347" s="3"/>
      <c r="CI347" s="3"/>
    </row>
    <row r="348" spans="16:87">
      <c r="P348" s="1"/>
      <c r="Q348" s="2"/>
      <c r="R348" s="2"/>
      <c r="S348" s="2"/>
      <c r="T348" s="2"/>
      <c r="U348" s="2"/>
      <c r="V348" s="1"/>
      <c r="W348" s="1"/>
      <c r="X348" s="1"/>
      <c r="Y348" s="1"/>
      <c r="Z348" s="1"/>
      <c r="AA348" s="1"/>
      <c r="AB348" s="1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1"/>
      <c r="BY348" s="1"/>
      <c r="BZ348" s="1"/>
      <c r="CA348" s="1"/>
      <c r="CB348" s="1"/>
      <c r="CC348" s="1"/>
      <c r="CD348" s="3"/>
      <c r="CE348" s="3"/>
      <c r="CF348" s="1"/>
      <c r="CG348" s="1"/>
      <c r="CH348" s="3"/>
      <c r="CI348" s="3"/>
    </row>
    <row r="349" spans="16:87">
      <c r="P349" s="1"/>
      <c r="Q349" s="2"/>
      <c r="R349" s="2"/>
      <c r="S349" s="2"/>
      <c r="T349" s="2"/>
      <c r="U349" s="2"/>
      <c r="V349" s="1"/>
      <c r="W349" s="1"/>
      <c r="X349" s="1"/>
      <c r="Y349" s="1"/>
      <c r="Z349" s="1"/>
      <c r="AA349" s="1"/>
      <c r="AB349" s="1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1"/>
      <c r="BY349" s="1"/>
      <c r="BZ349" s="1"/>
      <c r="CA349" s="1"/>
      <c r="CB349" s="1"/>
      <c r="CC349" s="1"/>
      <c r="CD349" s="3"/>
      <c r="CE349" s="3"/>
      <c r="CF349" s="1"/>
      <c r="CG349" s="1"/>
      <c r="CH349" s="3"/>
      <c r="CI349" s="3"/>
    </row>
    <row r="350" spans="16:87">
      <c r="P350" s="1"/>
      <c r="Q350" s="2"/>
      <c r="R350" s="2"/>
      <c r="S350" s="2"/>
      <c r="T350" s="2"/>
      <c r="U350" s="2"/>
      <c r="V350" s="1"/>
      <c r="W350" s="1"/>
      <c r="X350" s="1"/>
      <c r="Y350" s="1"/>
      <c r="Z350" s="1"/>
      <c r="AA350" s="1"/>
      <c r="AB350" s="1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1"/>
      <c r="BY350" s="1"/>
      <c r="BZ350" s="1"/>
      <c r="CA350" s="1"/>
      <c r="CB350" s="1"/>
      <c r="CC350" s="1"/>
      <c r="CD350" s="3"/>
      <c r="CE350" s="3"/>
      <c r="CF350" s="1"/>
      <c r="CG350" s="1"/>
      <c r="CH350" s="3"/>
      <c r="CI350" s="3"/>
    </row>
    <row r="351" spans="16:87">
      <c r="P351" s="1"/>
      <c r="Q351" s="2"/>
      <c r="R351" s="2"/>
      <c r="S351" s="2"/>
      <c r="T351" s="2"/>
      <c r="U351" s="2"/>
      <c r="V351" s="1"/>
      <c r="W351" s="1"/>
      <c r="X351" s="1"/>
      <c r="Y351" s="1"/>
      <c r="Z351" s="1"/>
      <c r="AA351" s="1"/>
      <c r="AB351" s="1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1"/>
      <c r="BY351" s="1"/>
      <c r="BZ351" s="1"/>
      <c r="CA351" s="1"/>
      <c r="CB351" s="1"/>
      <c r="CC351" s="1"/>
      <c r="CD351" s="3"/>
      <c r="CE351" s="3"/>
      <c r="CF351" s="1"/>
      <c r="CG351" s="1"/>
      <c r="CH351" s="3"/>
      <c r="CI351" s="3"/>
    </row>
    <row r="352" spans="16:87">
      <c r="P352" s="1"/>
      <c r="Q352" s="2"/>
      <c r="R352" s="2"/>
      <c r="S352" s="2"/>
      <c r="T352" s="2"/>
      <c r="U352" s="2"/>
      <c r="V352" s="1"/>
      <c r="W352" s="1"/>
      <c r="X352" s="1"/>
      <c r="Y352" s="1"/>
      <c r="Z352" s="1"/>
      <c r="AA352" s="1"/>
      <c r="AB352" s="1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1"/>
      <c r="BY352" s="1"/>
      <c r="BZ352" s="1"/>
      <c r="CA352" s="1"/>
      <c r="CB352" s="1"/>
      <c r="CC352" s="1"/>
      <c r="CD352" s="3"/>
      <c r="CE352" s="3"/>
      <c r="CF352" s="1"/>
      <c r="CG352" s="1"/>
      <c r="CH352" s="3"/>
      <c r="CI352" s="3"/>
    </row>
    <row r="353" spans="16:87">
      <c r="P353" s="1"/>
      <c r="Q353" s="2"/>
      <c r="R353" s="2"/>
      <c r="S353" s="2"/>
      <c r="T353" s="2"/>
      <c r="U353" s="2"/>
      <c r="V353" s="1"/>
      <c r="W353" s="1"/>
      <c r="X353" s="1"/>
      <c r="Y353" s="1"/>
      <c r="Z353" s="1"/>
      <c r="AA353" s="1"/>
      <c r="AB353" s="1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1"/>
      <c r="BY353" s="1"/>
      <c r="BZ353" s="1"/>
      <c r="CA353" s="1"/>
      <c r="CB353" s="1"/>
      <c r="CC353" s="1"/>
      <c r="CD353" s="3"/>
      <c r="CE353" s="3"/>
      <c r="CF353" s="1"/>
      <c r="CG353" s="1"/>
      <c r="CH353" s="3"/>
      <c r="CI353" s="3"/>
    </row>
    <row r="354" spans="16:87">
      <c r="P354" s="1"/>
      <c r="Q354" s="2"/>
      <c r="R354" s="2"/>
      <c r="S354" s="2"/>
      <c r="T354" s="2"/>
      <c r="U354" s="2"/>
      <c r="V354" s="1"/>
      <c r="W354" s="1"/>
      <c r="X354" s="1"/>
      <c r="Y354" s="1"/>
      <c r="Z354" s="1"/>
      <c r="AA354" s="1"/>
      <c r="AB354" s="1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1"/>
      <c r="BY354" s="1"/>
      <c r="BZ354" s="1"/>
      <c r="CA354" s="1"/>
      <c r="CB354" s="1"/>
      <c r="CC354" s="1"/>
      <c r="CD354" s="3"/>
      <c r="CE354" s="3"/>
      <c r="CF354" s="1"/>
      <c r="CG354" s="1"/>
      <c r="CH354" s="3"/>
      <c r="CI354" s="3"/>
    </row>
    <row r="355" spans="16:87">
      <c r="P355" s="1"/>
      <c r="Q355" s="2"/>
      <c r="R355" s="2"/>
      <c r="S355" s="2"/>
      <c r="T355" s="2"/>
      <c r="U355" s="2"/>
      <c r="V355" s="1"/>
      <c r="W355" s="1"/>
      <c r="X355" s="1"/>
      <c r="Y355" s="1"/>
      <c r="Z355" s="1"/>
      <c r="AA355" s="1"/>
      <c r="AB355" s="1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1"/>
      <c r="BY355" s="1"/>
      <c r="BZ355" s="1"/>
      <c r="CA355" s="1"/>
      <c r="CB355" s="1"/>
      <c r="CC355" s="1"/>
      <c r="CD355" s="3"/>
      <c r="CE355" s="3"/>
      <c r="CF355" s="1"/>
      <c r="CG355" s="1"/>
      <c r="CH355" s="3"/>
      <c r="CI355" s="3"/>
    </row>
    <row r="356" spans="16:87">
      <c r="P356" s="1"/>
      <c r="Q356" s="2"/>
      <c r="R356" s="2"/>
      <c r="S356" s="2"/>
      <c r="T356" s="2"/>
      <c r="U356" s="2"/>
      <c r="V356" s="1"/>
      <c r="W356" s="1"/>
      <c r="X356" s="1"/>
      <c r="Y356" s="1"/>
      <c r="Z356" s="1"/>
      <c r="AA356" s="1"/>
      <c r="AB356" s="1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1"/>
      <c r="BY356" s="1"/>
      <c r="BZ356" s="1"/>
      <c r="CA356" s="1"/>
      <c r="CB356" s="1"/>
      <c r="CC356" s="1"/>
      <c r="CD356" s="3"/>
      <c r="CE356" s="3"/>
      <c r="CF356" s="1"/>
      <c r="CG356" s="1"/>
      <c r="CH356" s="3"/>
      <c r="CI356" s="3"/>
    </row>
    <row r="357" spans="16:87">
      <c r="P357" s="1"/>
      <c r="Q357" s="2"/>
      <c r="R357" s="2"/>
      <c r="S357" s="2"/>
      <c r="T357" s="2"/>
      <c r="U357" s="2"/>
      <c r="V357" s="1"/>
      <c r="W357" s="1"/>
      <c r="X357" s="1"/>
      <c r="Y357" s="1"/>
      <c r="Z357" s="1"/>
      <c r="AA357" s="1"/>
      <c r="AB357" s="1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1"/>
      <c r="BY357" s="1"/>
      <c r="BZ357" s="1"/>
      <c r="CA357" s="1"/>
      <c r="CB357" s="1"/>
      <c r="CC357" s="1"/>
      <c r="CD357" s="3"/>
      <c r="CE357" s="3"/>
      <c r="CF357" s="1"/>
      <c r="CG357" s="1"/>
      <c r="CH357" s="3"/>
      <c r="CI357" s="3"/>
    </row>
    <row r="358" spans="16:87">
      <c r="P358" s="1"/>
      <c r="Q358" s="2"/>
      <c r="R358" s="2"/>
      <c r="S358" s="2"/>
      <c r="T358" s="2"/>
      <c r="U358" s="2"/>
      <c r="V358" s="1"/>
      <c r="W358" s="1"/>
      <c r="X358" s="1"/>
      <c r="Y358" s="1"/>
      <c r="Z358" s="1"/>
      <c r="AA358" s="1"/>
      <c r="AB358" s="1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1"/>
      <c r="BY358" s="1"/>
      <c r="BZ358" s="1"/>
      <c r="CA358" s="1"/>
      <c r="CB358" s="1"/>
      <c r="CC358" s="1"/>
      <c r="CD358" s="3"/>
      <c r="CE358" s="3"/>
      <c r="CF358" s="1"/>
      <c r="CG358" s="1"/>
      <c r="CH358" s="3"/>
      <c r="CI358" s="3"/>
    </row>
    <row r="359" spans="16:87">
      <c r="P359" s="1"/>
      <c r="Q359" s="2"/>
      <c r="R359" s="2"/>
      <c r="S359" s="2"/>
      <c r="T359" s="2"/>
      <c r="U359" s="2"/>
      <c r="V359" s="1"/>
      <c r="W359" s="1"/>
      <c r="X359" s="1"/>
      <c r="Y359" s="1"/>
      <c r="Z359" s="1"/>
      <c r="AA359" s="1"/>
      <c r="AB359" s="1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1"/>
      <c r="BY359" s="1"/>
      <c r="BZ359" s="1"/>
      <c r="CA359" s="1"/>
      <c r="CB359" s="1"/>
      <c r="CC359" s="1"/>
      <c r="CD359" s="3"/>
      <c r="CE359" s="3"/>
      <c r="CF359" s="1"/>
      <c r="CG359" s="1"/>
      <c r="CH359" s="3"/>
      <c r="CI359" s="3"/>
    </row>
    <row r="360" spans="16:87">
      <c r="P360" s="1"/>
      <c r="Q360" s="2"/>
      <c r="R360" s="2"/>
      <c r="S360" s="2"/>
      <c r="T360" s="2"/>
      <c r="U360" s="2"/>
      <c r="V360" s="1"/>
      <c r="W360" s="1"/>
      <c r="X360" s="1"/>
      <c r="Y360" s="1"/>
      <c r="Z360" s="1"/>
      <c r="AA360" s="1"/>
      <c r="AB360" s="1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1"/>
      <c r="BY360" s="1"/>
      <c r="BZ360" s="1"/>
      <c r="CA360" s="1"/>
      <c r="CB360" s="1"/>
      <c r="CC360" s="1"/>
      <c r="CD360" s="3"/>
      <c r="CE360" s="3"/>
      <c r="CF360" s="1"/>
      <c r="CG360" s="1"/>
      <c r="CH360" s="3"/>
      <c r="CI360" s="3"/>
    </row>
    <row r="361" spans="16:87">
      <c r="P361" s="1"/>
      <c r="Q361" s="2"/>
      <c r="R361" s="2"/>
      <c r="S361" s="2"/>
      <c r="T361" s="2"/>
      <c r="U361" s="2"/>
      <c r="V361" s="1"/>
      <c r="W361" s="1"/>
      <c r="X361" s="1"/>
      <c r="Y361" s="1"/>
      <c r="Z361" s="1"/>
      <c r="AA361" s="1"/>
      <c r="AB361" s="1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1"/>
      <c r="BY361" s="1"/>
      <c r="BZ361" s="1"/>
      <c r="CA361" s="1"/>
      <c r="CB361" s="1"/>
      <c r="CC361" s="1"/>
      <c r="CD361" s="3"/>
      <c r="CE361" s="3"/>
      <c r="CF361" s="1"/>
      <c r="CG361" s="1"/>
      <c r="CH361" s="3"/>
      <c r="CI361" s="3"/>
    </row>
    <row r="362" spans="16:87">
      <c r="P362" s="1"/>
      <c r="Q362" s="2"/>
      <c r="R362" s="2"/>
      <c r="S362" s="2"/>
      <c r="T362" s="2"/>
      <c r="U362" s="2"/>
      <c r="V362" s="1"/>
      <c r="W362" s="1"/>
      <c r="X362" s="1"/>
      <c r="Y362" s="1"/>
      <c r="Z362" s="1"/>
      <c r="AA362" s="1"/>
      <c r="AB362" s="1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1"/>
      <c r="BY362" s="1"/>
      <c r="BZ362" s="1"/>
      <c r="CA362" s="1"/>
      <c r="CB362" s="1"/>
      <c r="CC362" s="1"/>
      <c r="CD362" s="3"/>
      <c r="CE362" s="3"/>
      <c r="CF362" s="1"/>
      <c r="CG362" s="1"/>
      <c r="CH362" s="3"/>
      <c r="CI362" s="3"/>
    </row>
    <row r="363" spans="16:87">
      <c r="P363" s="1"/>
      <c r="Q363" s="2"/>
      <c r="R363" s="2"/>
      <c r="S363" s="2"/>
      <c r="T363" s="2"/>
      <c r="U363" s="2"/>
      <c r="V363" s="1"/>
      <c r="W363" s="1"/>
      <c r="X363" s="1"/>
      <c r="Y363" s="1"/>
      <c r="Z363" s="1"/>
      <c r="AA363" s="1"/>
      <c r="AB363" s="1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1"/>
      <c r="BY363" s="1"/>
      <c r="BZ363" s="1"/>
      <c r="CA363" s="1"/>
      <c r="CB363" s="1"/>
      <c r="CC363" s="1"/>
      <c r="CD363" s="3"/>
      <c r="CE363" s="3"/>
      <c r="CF363" s="1"/>
      <c r="CG363" s="1"/>
      <c r="CH363" s="3"/>
      <c r="CI363" s="3"/>
    </row>
    <row r="364" spans="16:87">
      <c r="P364" s="1"/>
      <c r="Q364" s="2"/>
      <c r="R364" s="2"/>
      <c r="S364" s="2"/>
      <c r="T364" s="2"/>
      <c r="U364" s="2"/>
      <c r="V364" s="1"/>
      <c r="W364" s="1"/>
      <c r="X364" s="1"/>
      <c r="Y364" s="1"/>
      <c r="Z364" s="1"/>
      <c r="AA364" s="1"/>
      <c r="AB364" s="1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1"/>
      <c r="BY364" s="1"/>
      <c r="BZ364" s="1"/>
      <c r="CA364" s="1"/>
      <c r="CB364" s="1"/>
      <c r="CC364" s="1"/>
      <c r="CD364" s="3"/>
      <c r="CE364" s="3"/>
      <c r="CF364" s="1"/>
      <c r="CG364" s="1"/>
      <c r="CH364" s="3"/>
      <c r="CI364" s="3"/>
    </row>
    <row r="365" spans="16:87">
      <c r="P365" s="1"/>
      <c r="Q365" s="2"/>
      <c r="R365" s="2"/>
      <c r="S365" s="2"/>
      <c r="T365" s="2"/>
      <c r="U365" s="2"/>
      <c r="V365" s="1"/>
      <c r="W365" s="1"/>
      <c r="X365" s="1"/>
      <c r="Y365" s="1"/>
      <c r="Z365" s="1"/>
      <c r="AA365" s="1"/>
      <c r="AB365" s="1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1"/>
      <c r="BY365" s="1"/>
      <c r="BZ365" s="1"/>
      <c r="CA365" s="1"/>
      <c r="CB365" s="1"/>
      <c r="CC365" s="1"/>
      <c r="CD365" s="3"/>
      <c r="CE365" s="3"/>
      <c r="CF365" s="1"/>
      <c r="CG365" s="1"/>
      <c r="CH365" s="3"/>
      <c r="CI365" s="3"/>
    </row>
    <row r="366" spans="16:87">
      <c r="P366" s="1"/>
      <c r="Q366" s="2"/>
      <c r="R366" s="2"/>
      <c r="S366" s="2"/>
      <c r="T366" s="2"/>
      <c r="U366" s="2"/>
      <c r="V366" s="1"/>
      <c r="W366" s="1"/>
      <c r="X366" s="1"/>
      <c r="Y366" s="1"/>
      <c r="Z366" s="1"/>
      <c r="AA366" s="1"/>
      <c r="AB366" s="1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1"/>
      <c r="BY366" s="1"/>
      <c r="BZ366" s="1"/>
      <c r="CA366" s="1"/>
      <c r="CB366" s="1"/>
      <c r="CC366" s="1"/>
      <c r="CD366" s="3"/>
      <c r="CE366" s="3"/>
      <c r="CF366" s="1"/>
      <c r="CG366" s="1"/>
      <c r="CH366" s="3"/>
      <c r="CI366" s="3"/>
    </row>
    <row r="367" spans="16:87">
      <c r="P367" s="1"/>
      <c r="Q367" s="2"/>
      <c r="R367" s="2"/>
      <c r="S367" s="2"/>
      <c r="T367" s="2"/>
      <c r="U367" s="2"/>
      <c r="V367" s="1"/>
      <c r="W367" s="1"/>
      <c r="X367" s="1"/>
      <c r="Y367" s="1"/>
      <c r="Z367" s="1"/>
      <c r="AA367" s="1"/>
      <c r="AB367" s="1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1"/>
      <c r="BY367" s="1"/>
      <c r="BZ367" s="1"/>
      <c r="CA367" s="1"/>
      <c r="CB367" s="1"/>
      <c r="CC367" s="1"/>
      <c r="CD367" s="3"/>
      <c r="CE367" s="3"/>
      <c r="CF367" s="1"/>
      <c r="CG367" s="1"/>
      <c r="CH367" s="3"/>
      <c r="CI367" s="3"/>
    </row>
    <row r="368" spans="16:87">
      <c r="P368" s="1"/>
      <c r="Q368" s="2"/>
      <c r="R368" s="2"/>
      <c r="S368" s="2"/>
      <c r="T368" s="2"/>
      <c r="U368" s="2"/>
      <c r="V368" s="1"/>
      <c r="W368" s="1"/>
      <c r="X368" s="1"/>
      <c r="Y368" s="1"/>
      <c r="Z368" s="1"/>
      <c r="AA368" s="1"/>
      <c r="AB368" s="1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1"/>
      <c r="BY368" s="1"/>
      <c r="BZ368" s="1"/>
      <c r="CA368" s="1"/>
      <c r="CB368" s="1"/>
      <c r="CC368" s="1"/>
      <c r="CD368" s="3"/>
      <c r="CE368" s="3"/>
      <c r="CF368" s="1"/>
      <c r="CG368" s="1"/>
      <c r="CH368" s="3"/>
      <c r="CI368" s="3"/>
    </row>
    <row r="369" spans="16:87">
      <c r="P369" s="1"/>
      <c r="Q369" s="2"/>
      <c r="R369" s="2"/>
      <c r="S369" s="2"/>
      <c r="T369" s="2"/>
      <c r="U369" s="2"/>
      <c r="V369" s="1"/>
      <c r="W369" s="1"/>
      <c r="X369" s="1"/>
      <c r="Y369" s="1"/>
      <c r="Z369" s="1"/>
      <c r="AA369" s="1"/>
      <c r="AB369" s="1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1"/>
      <c r="BY369" s="1"/>
      <c r="BZ369" s="1"/>
      <c r="CA369" s="1"/>
      <c r="CB369" s="1"/>
      <c r="CC369" s="1"/>
      <c r="CD369" s="3"/>
      <c r="CE369" s="3"/>
      <c r="CF369" s="1"/>
      <c r="CG369" s="1"/>
      <c r="CH369" s="3"/>
      <c r="CI369" s="3"/>
    </row>
    <row r="370" spans="16:87">
      <c r="P370" s="1"/>
      <c r="Q370" s="2"/>
      <c r="R370" s="2"/>
      <c r="S370" s="2"/>
      <c r="T370" s="2"/>
      <c r="U370" s="2"/>
      <c r="V370" s="1"/>
      <c r="W370" s="1"/>
      <c r="X370" s="1"/>
      <c r="Y370" s="1"/>
      <c r="Z370" s="1"/>
      <c r="AA370" s="1"/>
      <c r="AB370" s="1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1"/>
      <c r="BY370" s="1"/>
      <c r="BZ370" s="1"/>
      <c r="CA370" s="1"/>
      <c r="CB370" s="1"/>
      <c r="CC370" s="1"/>
      <c r="CD370" s="3"/>
      <c r="CE370" s="3"/>
      <c r="CF370" s="1"/>
      <c r="CG370" s="1"/>
      <c r="CH370" s="3"/>
      <c r="CI370" s="3"/>
    </row>
    <row r="371" spans="16:87">
      <c r="P371" s="1"/>
      <c r="Q371" s="2"/>
      <c r="R371" s="2"/>
      <c r="S371" s="2"/>
      <c r="T371" s="2"/>
      <c r="U371" s="2"/>
      <c r="V371" s="1"/>
      <c r="W371" s="1"/>
      <c r="X371" s="1"/>
      <c r="Y371" s="1"/>
      <c r="Z371" s="1"/>
      <c r="AA371" s="1"/>
      <c r="AB371" s="1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1"/>
      <c r="BY371" s="1"/>
      <c r="BZ371" s="1"/>
      <c r="CA371" s="1"/>
      <c r="CB371" s="1"/>
      <c r="CC371" s="1"/>
      <c r="CD371" s="3"/>
      <c r="CE371" s="3"/>
      <c r="CF371" s="1"/>
      <c r="CG371" s="1"/>
      <c r="CH371" s="3"/>
      <c r="CI371" s="3"/>
    </row>
    <row r="372" spans="16:87">
      <c r="P372" s="1"/>
      <c r="Q372" s="2"/>
      <c r="R372" s="2"/>
      <c r="S372" s="2"/>
      <c r="T372" s="2"/>
      <c r="U372" s="2"/>
      <c r="V372" s="1"/>
      <c r="W372" s="1"/>
      <c r="X372" s="1"/>
      <c r="Y372" s="1"/>
      <c r="Z372" s="1"/>
      <c r="AA372" s="1"/>
      <c r="AB372" s="1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1"/>
      <c r="BY372" s="1"/>
      <c r="BZ372" s="1"/>
      <c r="CA372" s="1"/>
      <c r="CB372" s="1"/>
      <c r="CC372" s="1"/>
      <c r="CD372" s="3"/>
      <c r="CE372" s="3"/>
      <c r="CF372" s="1"/>
      <c r="CG372" s="1"/>
      <c r="CH372" s="3"/>
      <c r="CI372" s="3"/>
    </row>
    <row r="373" spans="16:87">
      <c r="P373" s="1"/>
      <c r="Q373" s="2"/>
      <c r="R373" s="2"/>
      <c r="S373" s="2"/>
      <c r="T373" s="2"/>
      <c r="U373" s="2"/>
      <c r="V373" s="1"/>
      <c r="W373" s="1"/>
      <c r="X373" s="1"/>
      <c r="Y373" s="1"/>
      <c r="Z373" s="1"/>
      <c r="AA373" s="1"/>
      <c r="AB373" s="1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1"/>
      <c r="BY373" s="1"/>
      <c r="BZ373" s="1"/>
      <c r="CA373" s="1"/>
      <c r="CB373" s="1"/>
      <c r="CC373" s="1"/>
      <c r="CD373" s="3"/>
      <c r="CE373" s="3"/>
      <c r="CF373" s="1"/>
      <c r="CG373" s="1"/>
      <c r="CH373" s="3"/>
      <c r="CI373" s="3"/>
    </row>
    <row r="374" spans="16:87">
      <c r="P374" s="1"/>
      <c r="Q374" s="2"/>
      <c r="R374" s="2"/>
      <c r="S374" s="2"/>
      <c r="T374" s="2"/>
      <c r="U374" s="2"/>
      <c r="V374" s="1"/>
      <c r="W374" s="1"/>
      <c r="X374" s="1"/>
      <c r="Y374" s="1"/>
      <c r="Z374" s="1"/>
      <c r="AA374" s="1"/>
      <c r="AB374" s="1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1"/>
      <c r="BY374" s="1"/>
      <c r="BZ374" s="1"/>
      <c r="CA374" s="1"/>
      <c r="CB374" s="1"/>
      <c r="CC374" s="1"/>
      <c r="CD374" s="3"/>
      <c r="CE374" s="3"/>
      <c r="CF374" s="1"/>
      <c r="CG374" s="1"/>
      <c r="CH374" s="3"/>
      <c r="CI374" s="3"/>
    </row>
    <row r="375" spans="16:87">
      <c r="P375" s="1"/>
      <c r="Q375" s="2"/>
      <c r="R375" s="2"/>
      <c r="S375" s="2"/>
      <c r="T375" s="2"/>
      <c r="U375" s="2"/>
      <c r="V375" s="1"/>
      <c r="W375" s="1"/>
      <c r="X375" s="1"/>
      <c r="Y375" s="1"/>
      <c r="Z375" s="1"/>
      <c r="AA375" s="1"/>
      <c r="AB375" s="1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1"/>
      <c r="BY375" s="1"/>
      <c r="BZ375" s="1"/>
      <c r="CA375" s="1"/>
      <c r="CB375" s="1"/>
      <c r="CC375" s="1"/>
      <c r="CD375" s="3"/>
      <c r="CE375" s="3"/>
      <c r="CF375" s="1"/>
      <c r="CG375" s="1"/>
      <c r="CH375" s="3"/>
      <c r="CI375" s="3"/>
    </row>
    <row r="376" spans="16:87">
      <c r="P376" s="1"/>
      <c r="Q376" s="2"/>
      <c r="R376" s="2"/>
      <c r="S376" s="2"/>
      <c r="T376" s="2"/>
      <c r="U376" s="2"/>
      <c r="V376" s="1"/>
      <c r="W376" s="1"/>
      <c r="X376" s="1"/>
      <c r="Y376" s="1"/>
      <c r="Z376" s="1"/>
      <c r="AA376" s="1"/>
      <c r="AB376" s="1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1"/>
      <c r="BY376" s="1"/>
      <c r="BZ376" s="1"/>
      <c r="CA376" s="1"/>
      <c r="CB376" s="1"/>
      <c r="CC376" s="1"/>
      <c r="CD376" s="3"/>
      <c r="CE376" s="3"/>
      <c r="CF376" s="1"/>
      <c r="CG376" s="1"/>
      <c r="CH376" s="3"/>
      <c r="CI376" s="3"/>
    </row>
    <row r="377" spans="16:87">
      <c r="P377" s="1"/>
      <c r="Q377" s="2"/>
      <c r="R377" s="2"/>
      <c r="S377" s="2"/>
      <c r="T377" s="2"/>
      <c r="U377" s="2"/>
      <c r="V377" s="1"/>
      <c r="W377" s="1"/>
      <c r="X377" s="1"/>
      <c r="Y377" s="1"/>
      <c r="Z377" s="1"/>
      <c r="AA377" s="1"/>
      <c r="AB377" s="1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1"/>
      <c r="BY377" s="1"/>
      <c r="BZ377" s="1"/>
      <c r="CA377" s="1"/>
      <c r="CB377" s="1"/>
      <c r="CC377" s="1"/>
      <c r="CD377" s="3"/>
      <c r="CE377" s="3"/>
      <c r="CF377" s="1"/>
      <c r="CG377" s="1"/>
      <c r="CH377" s="3"/>
      <c r="CI377" s="3"/>
    </row>
    <row r="378" spans="16:87">
      <c r="P378" s="1"/>
      <c r="Q378" s="2"/>
      <c r="R378" s="2"/>
      <c r="S378" s="2"/>
      <c r="T378" s="2"/>
      <c r="U378" s="2"/>
      <c r="V378" s="1"/>
      <c r="W378" s="1"/>
      <c r="X378" s="1"/>
      <c r="Y378" s="1"/>
      <c r="Z378" s="1"/>
      <c r="AA378" s="1"/>
      <c r="AB378" s="1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1"/>
      <c r="BY378" s="1"/>
      <c r="BZ378" s="1"/>
      <c r="CA378" s="1"/>
      <c r="CB378" s="1"/>
      <c r="CC378" s="1"/>
      <c r="CD378" s="3"/>
      <c r="CE378" s="3"/>
      <c r="CF378" s="1"/>
      <c r="CG378" s="1"/>
      <c r="CH378" s="3"/>
      <c r="CI378" s="3"/>
    </row>
    <row r="379" spans="16:87">
      <c r="P379" s="1"/>
      <c r="Q379" s="2"/>
      <c r="R379" s="2"/>
      <c r="S379" s="2"/>
      <c r="T379" s="2"/>
      <c r="U379" s="2"/>
      <c r="V379" s="1"/>
      <c r="W379" s="1"/>
      <c r="X379" s="1"/>
      <c r="Y379" s="1"/>
      <c r="Z379" s="1"/>
      <c r="AA379" s="1"/>
      <c r="AB379" s="1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1"/>
      <c r="BY379" s="1"/>
      <c r="BZ379" s="1"/>
      <c r="CA379" s="1"/>
      <c r="CB379" s="1"/>
      <c r="CC379" s="1"/>
      <c r="CD379" s="3"/>
      <c r="CE379" s="3"/>
      <c r="CF379" s="1"/>
      <c r="CG379" s="1"/>
      <c r="CH379" s="3"/>
      <c r="CI379" s="3"/>
    </row>
    <row r="380" spans="16:87">
      <c r="P380" s="1"/>
      <c r="Q380" s="2"/>
      <c r="R380" s="2"/>
      <c r="S380" s="2"/>
      <c r="T380" s="2"/>
      <c r="U380" s="2"/>
      <c r="V380" s="1"/>
      <c r="W380" s="1"/>
      <c r="X380" s="1"/>
      <c r="Y380" s="1"/>
      <c r="Z380" s="1"/>
      <c r="AA380" s="1"/>
      <c r="AB380" s="1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1"/>
      <c r="BY380" s="1"/>
      <c r="BZ380" s="1"/>
      <c r="CA380" s="1"/>
      <c r="CB380" s="1"/>
      <c r="CC380" s="1"/>
      <c r="CD380" s="3"/>
      <c r="CE380" s="3"/>
      <c r="CF380" s="1"/>
      <c r="CG380" s="1"/>
      <c r="CH380" s="3"/>
      <c r="CI380" s="3"/>
    </row>
    <row r="381" spans="16:87">
      <c r="P381" s="1"/>
      <c r="Q381" s="2"/>
      <c r="R381" s="2"/>
      <c r="S381" s="2"/>
      <c r="T381" s="2"/>
      <c r="U381" s="2"/>
      <c r="V381" s="1"/>
      <c r="W381" s="1"/>
      <c r="X381" s="1"/>
      <c r="Y381" s="1"/>
      <c r="Z381" s="1"/>
      <c r="AA381" s="1"/>
      <c r="AB381" s="1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1"/>
      <c r="BY381" s="1"/>
      <c r="BZ381" s="1"/>
      <c r="CA381" s="1"/>
      <c r="CB381" s="1"/>
      <c r="CC381" s="1"/>
      <c r="CD381" s="3"/>
      <c r="CE381" s="3"/>
      <c r="CF381" s="1"/>
      <c r="CG381" s="1"/>
      <c r="CH381" s="3"/>
      <c r="CI381" s="3"/>
    </row>
    <row r="382" spans="16:87">
      <c r="P382" s="1"/>
      <c r="Q382" s="2"/>
      <c r="R382" s="2"/>
      <c r="S382" s="2"/>
      <c r="T382" s="2"/>
      <c r="U382" s="2"/>
      <c r="V382" s="1"/>
      <c r="W382" s="1"/>
      <c r="X382" s="1"/>
      <c r="Y382" s="1"/>
      <c r="Z382" s="1"/>
      <c r="AA382" s="1"/>
      <c r="AB382" s="1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1"/>
      <c r="BY382" s="1"/>
      <c r="BZ382" s="1"/>
      <c r="CA382" s="1"/>
      <c r="CB382" s="1"/>
      <c r="CC382" s="1"/>
      <c r="CD382" s="3"/>
      <c r="CE382" s="3"/>
      <c r="CF382" s="1"/>
      <c r="CG382" s="1"/>
      <c r="CH382" s="3"/>
      <c r="CI382" s="3"/>
    </row>
    <row r="383" spans="16:87">
      <c r="P383" s="1"/>
      <c r="Q383" s="2"/>
      <c r="R383" s="2"/>
      <c r="S383" s="2"/>
      <c r="T383" s="2"/>
      <c r="U383" s="2"/>
      <c r="V383" s="1"/>
      <c r="W383" s="1"/>
      <c r="X383" s="1"/>
      <c r="Y383" s="1"/>
      <c r="Z383" s="1"/>
      <c r="AA383" s="1"/>
      <c r="AB383" s="1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1"/>
      <c r="BY383" s="1"/>
      <c r="BZ383" s="1"/>
      <c r="CA383" s="1"/>
      <c r="CB383" s="1"/>
      <c r="CC383" s="1"/>
      <c r="CD383" s="3"/>
      <c r="CE383" s="3"/>
      <c r="CF383" s="1"/>
      <c r="CG383" s="1"/>
      <c r="CH383" s="3"/>
      <c r="CI383" s="3"/>
    </row>
    <row r="384" spans="16:87">
      <c r="P384" s="1"/>
      <c r="Q384" s="2"/>
      <c r="R384" s="2"/>
      <c r="S384" s="2"/>
      <c r="T384" s="2"/>
      <c r="U384" s="2"/>
      <c r="V384" s="1"/>
      <c r="W384" s="1"/>
      <c r="X384" s="1"/>
      <c r="Y384" s="1"/>
      <c r="Z384" s="1"/>
      <c r="AA384" s="1"/>
      <c r="AB384" s="1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1"/>
      <c r="BY384" s="1"/>
      <c r="BZ384" s="1"/>
      <c r="CA384" s="1"/>
      <c r="CB384" s="1"/>
      <c r="CC384" s="1"/>
      <c r="CD384" s="3"/>
      <c r="CE384" s="3"/>
      <c r="CF384" s="1"/>
      <c r="CG384" s="1"/>
      <c r="CH384" s="3"/>
      <c r="CI384" s="3"/>
    </row>
    <row r="385" spans="16:87">
      <c r="P385" s="1"/>
      <c r="Q385" s="2"/>
      <c r="R385" s="2"/>
      <c r="S385" s="2"/>
      <c r="T385" s="2"/>
      <c r="U385" s="2"/>
      <c r="V385" s="1"/>
      <c r="W385" s="1"/>
      <c r="X385" s="1"/>
      <c r="Y385" s="1"/>
      <c r="Z385" s="1"/>
      <c r="AA385" s="1"/>
      <c r="AB385" s="1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1"/>
      <c r="BY385" s="1"/>
      <c r="BZ385" s="1"/>
      <c r="CA385" s="1"/>
      <c r="CB385" s="1"/>
      <c r="CC385" s="1"/>
      <c r="CD385" s="3"/>
      <c r="CE385" s="3"/>
      <c r="CF385" s="1"/>
      <c r="CG385" s="1"/>
      <c r="CH385" s="3"/>
      <c r="CI385" s="3"/>
    </row>
    <row r="386" spans="16:87">
      <c r="P386" s="1"/>
      <c r="Q386" s="2"/>
      <c r="R386" s="2"/>
      <c r="S386" s="2"/>
      <c r="T386" s="2"/>
      <c r="U386" s="2"/>
      <c r="V386" s="1"/>
      <c r="W386" s="1"/>
      <c r="X386" s="1"/>
      <c r="Y386" s="1"/>
      <c r="Z386" s="1"/>
      <c r="AA386" s="1"/>
      <c r="AB386" s="1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1"/>
      <c r="BY386" s="1"/>
      <c r="BZ386" s="1"/>
      <c r="CA386" s="1"/>
      <c r="CB386" s="1"/>
      <c r="CC386" s="1"/>
      <c r="CD386" s="3"/>
      <c r="CE386" s="3"/>
      <c r="CF386" s="1"/>
      <c r="CG386" s="1"/>
      <c r="CH386" s="3"/>
      <c r="CI386" s="3"/>
    </row>
    <row r="387" spans="16:87">
      <c r="P387" s="1"/>
      <c r="Q387" s="2"/>
      <c r="R387" s="2"/>
      <c r="S387" s="2"/>
      <c r="T387" s="2"/>
      <c r="U387" s="2"/>
      <c r="V387" s="1"/>
      <c r="W387" s="1"/>
      <c r="X387" s="1"/>
      <c r="Y387" s="1"/>
      <c r="Z387" s="1"/>
      <c r="AA387" s="1"/>
      <c r="AB387" s="1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1"/>
      <c r="BY387" s="1"/>
      <c r="BZ387" s="1"/>
      <c r="CA387" s="1"/>
      <c r="CB387" s="1"/>
      <c r="CC387" s="1"/>
      <c r="CD387" s="3"/>
      <c r="CE387" s="3"/>
      <c r="CF387" s="1"/>
      <c r="CG387" s="1"/>
      <c r="CH387" s="3"/>
      <c r="CI387" s="3"/>
    </row>
    <row r="388" spans="16:87">
      <c r="P388" s="1"/>
      <c r="Q388" s="2"/>
      <c r="R388" s="2"/>
      <c r="S388" s="2"/>
      <c r="T388" s="2"/>
      <c r="U388" s="2"/>
      <c r="V388" s="1"/>
      <c r="W388" s="1"/>
      <c r="X388" s="1"/>
      <c r="Y388" s="1"/>
      <c r="Z388" s="1"/>
      <c r="AA388" s="1"/>
      <c r="AB388" s="1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1"/>
      <c r="BY388" s="1"/>
      <c r="BZ388" s="1"/>
      <c r="CA388" s="1"/>
      <c r="CB388" s="1"/>
      <c r="CC388" s="1"/>
      <c r="CD388" s="3"/>
      <c r="CE388" s="3"/>
      <c r="CF388" s="1"/>
      <c r="CG388" s="1"/>
      <c r="CH388" s="3"/>
      <c r="CI388" s="3"/>
    </row>
    <row r="389" spans="16:87">
      <c r="P389" s="1"/>
      <c r="Q389" s="2"/>
      <c r="R389" s="2"/>
      <c r="S389" s="2"/>
      <c r="T389" s="2"/>
      <c r="U389" s="2"/>
      <c r="V389" s="1"/>
      <c r="W389" s="1"/>
      <c r="X389" s="1"/>
      <c r="Y389" s="1"/>
      <c r="Z389" s="1"/>
      <c r="AA389" s="1"/>
      <c r="AB389" s="1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1"/>
      <c r="BY389" s="1"/>
      <c r="BZ389" s="1"/>
      <c r="CA389" s="1"/>
      <c r="CB389" s="1"/>
      <c r="CC389" s="1"/>
      <c r="CD389" s="3"/>
      <c r="CE389" s="3"/>
      <c r="CF389" s="1"/>
      <c r="CG389" s="1"/>
      <c r="CH389" s="3"/>
      <c r="CI389" s="3"/>
    </row>
    <row r="390" spans="16:87">
      <c r="P390" s="1"/>
      <c r="Q390" s="2"/>
      <c r="R390" s="2"/>
      <c r="S390" s="2"/>
      <c r="T390" s="2"/>
      <c r="U390" s="2"/>
      <c r="V390" s="1"/>
      <c r="W390" s="1"/>
      <c r="X390" s="1"/>
      <c r="Y390" s="1"/>
      <c r="Z390" s="1"/>
      <c r="AA390" s="1"/>
      <c r="AB390" s="1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1"/>
      <c r="BY390" s="1"/>
      <c r="BZ390" s="1"/>
      <c r="CA390" s="1"/>
      <c r="CB390" s="1"/>
      <c r="CC390" s="1"/>
      <c r="CD390" s="3"/>
      <c r="CE390" s="3"/>
      <c r="CF390" s="1"/>
      <c r="CG390" s="1"/>
      <c r="CH390" s="3"/>
      <c r="CI390" s="3"/>
    </row>
    <row r="391" spans="16:87">
      <c r="P391" s="1"/>
      <c r="Q391" s="2"/>
      <c r="R391" s="2"/>
      <c r="S391" s="2"/>
      <c r="T391" s="2"/>
      <c r="U391" s="2"/>
      <c r="V391" s="1"/>
      <c r="W391" s="1"/>
      <c r="X391" s="1"/>
      <c r="Y391" s="1"/>
      <c r="Z391" s="1"/>
      <c r="AA391" s="1"/>
      <c r="AB391" s="1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1"/>
      <c r="BY391" s="1"/>
      <c r="BZ391" s="1"/>
      <c r="CA391" s="1"/>
      <c r="CB391" s="1"/>
      <c r="CC391" s="1"/>
      <c r="CD391" s="3"/>
      <c r="CE391" s="3"/>
      <c r="CF391" s="1"/>
      <c r="CG391" s="1"/>
      <c r="CH391" s="3"/>
      <c r="CI391" s="3"/>
    </row>
    <row r="392" spans="16:87">
      <c r="P392" s="1"/>
      <c r="Q392" s="2"/>
      <c r="R392" s="2"/>
      <c r="S392" s="2"/>
      <c r="T392" s="2"/>
      <c r="U392" s="2"/>
      <c r="V392" s="1"/>
      <c r="W392" s="1"/>
      <c r="X392" s="1"/>
      <c r="Y392" s="1"/>
      <c r="Z392" s="1"/>
      <c r="AA392" s="1"/>
      <c r="AB392" s="1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1"/>
      <c r="BY392" s="1"/>
      <c r="BZ392" s="1"/>
      <c r="CA392" s="1"/>
      <c r="CB392" s="1"/>
      <c r="CC392" s="1"/>
      <c r="CD392" s="3"/>
      <c r="CE392" s="3"/>
      <c r="CF392" s="1"/>
      <c r="CG392" s="1"/>
      <c r="CH392" s="3"/>
      <c r="CI392" s="3"/>
    </row>
    <row r="393" spans="16:87">
      <c r="P393" s="1"/>
      <c r="Q393" s="2"/>
      <c r="R393" s="2"/>
      <c r="S393" s="2"/>
      <c r="T393" s="2"/>
      <c r="U393" s="2"/>
      <c r="V393" s="1"/>
      <c r="W393" s="1"/>
      <c r="X393" s="1"/>
      <c r="Y393" s="1"/>
      <c r="Z393" s="1"/>
      <c r="AA393" s="1"/>
      <c r="AB393" s="1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1"/>
      <c r="BY393" s="1"/>
      <c r="BZ393" s="1"/>
      <c r="CA393" s="1"/>
      <c r="CB393" s="1"/>
      <c r="CC393" s="1"/>
      <c r="CD393" s="3"/>
      <c r="CE393" s="3"/>
      <c r="CF393" s="1"/>
      <c r="CG393" s="1"/>
      <c r="CH393" s="3"/>
      <c r="CI393" s="3"/>
    </row>
    <row r="394" spans="16:87">
      <c r="P394" s="1"/>
      <c r="Q394" s="2"/>
      <c r="R394" s="2"/>
      <c r="S394" s="2"/>
      <c r="T394" s="2"/>
      <c r="U394" s="2"/>
      <c r="V394" s="1"/>
      <c r="W394" s="1"/>
      <c r="X394" s="1"/>
      <c r="Y394" s="1"/>
      <c r="Z394" s="1"/>
      <c r="AA394" s="1"/>
      <c r="AB394" s="1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1"/>
      <c r="BY394" s="1"/>
      <c r="BZ394" s="1"/>
      <c r="CA394" s="1"/>
      <c r="CB394" s="1"/>
      <c r="CC394" s="1"/>
      <c r="CD394" s="3"/>
      <c r="CE394" s="3"/>
      <c r="CF394" s="1"/>
      <c r="CG394" s="1"/>
      <c r="CH394" s="3"/>
      <c r="CI394" s="3"/>
    </row>
    <row r="395" spans="16:87">
      <c r="P395" s="1"/>
      <c r="Q395" s="2"/>
      <c r="R395" s="2"/>
      <c r="S395" s="2"/>
      <c r="T395" s="2"/>
      <c r="U395" s="2"/>
      <c r="V395" s="1"/>
      <c r="W395" s="1"/>
      <c r="X395" s="1"/>
      <c r="Y395" s="1"/>
      <c r="Z395" s="1"/>
      <c r="AA395" s="1"/>
      <c r="AB395" s="1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1"/>
      <c r="BY395" s="1"/>
      <c r="BZ395" s="1"/>
      <c r="CA395" s="1"/>
      <c r="CB395" s="1"/>
      <c r="CC395" s="1"/>
      <c r="CD395" s="3"/>
      <c r="CE395" s="3"/>
      <c r="CF395" s="1"/>
      <c r="CG395" s="1"/>
      <c r="CH395" s="3"/>
      <c r="CI395" s="3"/>
    </row>
    <row r="396" spans="16:87">
      <c r="P396" s="1"/>
      <c r="Q396" s="2"/>
      <c r="R396" s="2"/>
      <c r="S396" s="2"/>
      <c r="T396" s="2"/>
      <c r="U396" s="2"/>
      <c r="V396" s="1"/>
      <c r="W396" s="1"/>
      <c r="X396" s="1"/>
      <c r="Y396" s="1"/>
      <c r="Z396" s="1"/>
      <c r="AA396" s="1"/>
      <c r="AB396" s="1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1"/>
      <c r="BY396" s="1"/>
      <c r="BZ396" s="1"/>
      <c r="CA396" s="1"/>
      <c r="CB396" s="1"/>
      <c r="CC396" s="1"/>
      <c r="CD396" s="3"/>
      <c r="CE396" s="3"/>
      <c r="CF396" s="1"/>
      <c r="CG396" s="1"/>
      <c r="CH396" s="3"/>
      <c r="CI396" s="3"/>
    </row>
    <row r="397" spans="16:87">
      <c r="P397" s="1"/>
      <c r="Q397" s="2"/>
      <c r="R397" s="2"/>
      <c r="S397" s="2"/>
      <c r="T397" s="2"/>
      <c r="U397" s="2"/>
      <c r="V397" s="1"/>
      <c r="W397" s="1"/>
      <c r="X397" s="1"/>
      <c r="Y397" s="1"/>
      <c r="Z397" s="1"/>
      <c r="AA397" s="1"/>
      <c r="AB397" s="1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1"/>
      <c r="BY397" s="1"/>
      <c r="BZ397" s="1"/>
      <c r="CA397" s="1"/>
      <c r="CB397" s="1"/>
      <c r="CC397" s="1"/>
      <c r="CD397" s="3"/>
      <c r="CE397" s="3"/>
      <c r="CF397" s="1"/>
      <c r="CG397" s="1"/>
      <c r="CH397" s="3"/>
      <c r="CI397" s="3"/>
    </row>
    <row r="398" spans="16:87">
      <c r="P398" s="1"/>
      <c r="Q398" s="2"/>
      <c r="R398" s="2"/>
      <c r="S398" s="2"/>
      <c r="T398" s="2"/>
      <c r="U398" s="2"/>
      <c r="V398" s="1"/>
      <c r="W398" s="1"/>
      <c r="X398" s="1"/>
      <c r="Y398" s="1"/>
      <c r="Z398" s="1"/>
      <c r="AA398" s="1"/>
      <c r="AB398" s="1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1"/>
      <c r="BY398" s="1"/>
      <c r="BZ398" s="1"/>
      <c r="CA398" s="1"/>
      <c r="CB398" s="1"/>
      <c r="CC398" s="1"/>
      <c r="CD398" s="3"/>
      <c r="CE398" s="3"/>
      <c r="CF398" s="1"/>
      <c r="CG398" s="1"/>
      <c r="CH398" s="3"/>
      <c r="CI398" s="3"/>
    </row>
    <row r="399" spans="16:87">
      <c r="P399" s="1"/>
      <c r="Q399" s="2"/>
      <c r="R399" s="2"/>
      <c r="S399" s="2"/>
      <c r="T399" s="2"/>
      <c r="U399" s="2"/>
      <c r="V399" s="1"/>
      <c r="W399" s="1"/>
      <c r="X399" s="1"/>
      <c r="Y399" s="1"/>
      <c r="Z399" s="1"/>
      <c r="AA399" s="1"/>
      <c r="AB399" s="1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1"/>
      <c r="BY399" s="1"/>
      <c r="BZ399" s="1"/>
      <c r="CA399" s="1"/>
      <c r="CB399" s="1"/>
      <c r="CC399" s="1"/>
      <c r="CD399" s="3"/>
      <c r="CE399" s="3"/>
      <c r="CF399" s="1"/>
      <c r="CG399" s="1"/>
      <c r="CH399" s="3"/>
      <c r="CI399" s="3"/>
    </row>
    <row r="400" spans="16:87">
      <c r="P400" s="1"/>
      <c r="Q400" s="2"/>
      <c r="R400" s="2"/>
      <c r="S400" s="2"/>
      <c r="T400" s="2"/>
      <c r="U400" s="2"/>
      <c r="V400" s="1"/>
      <c r="W400" s="1"/>
      <c r="X400" s="1"/>
      <c r="Y400" s="1"/>
      <c r="Z400" s="1"/>
      <c r="AA400" s="1"/>
      <c r="AB400" s="1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1"/>
      <c r="BY400" s="1"/>
      <c r="BZ400" s="1"/>
      <c r="CA400" s="1"/>
      <c r="CB400" s="1"/>
      <c r="CC400" s="1"/>
      <c r="CD400" s="3"/>
      <c r="CE400" s="3"/>
      <c r="CF400" s="1"/>
      <c r="CG400" s="1"/>
      <c r="CH400" s="3"/>
      <c r="CI400" s="3"/>
    </row>
    <row r="401" spans="16:87">
      <c r="P401" s="1"/>
      <c r="Q401" s="2"/>
      <c r="R401" s="2"/>
      <c r="S401" s="2"/>
      <c r="T401" s="2"/>
      <c r="U401" s="2"/>
      <c r="V401" s="1"/>
      <c r="W401" s="1"/>
      <c r="X401" s="1"/>
      <c r="Y401" s="1"/>
      <c r="Z401" s="1"/>
      <c r="AA401" s="1"/>
      <c r="AB401" s="1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1"/>
      <c r="BY401" s="1"/>
      <c r="BZ401" s="1"/>
      <c r="CA401" s="1"/>
      <c r="CB401" s="1"/>
      <c r="CC401" s="1"/>
      <c r="CD401" s="3"/>
      <c r="CE401" s="3"/>
      <c r="CF401" s="1"/>
      <c r="CG401" s="1"/>
      <c r="CH401" s="3"/>
      <c r="CI401" s="3"/>
    </row>
    <row r="402" spans="16:87">
      <c r="P402" s="1"/>
      <c r="Q402" s="2"/>
      <c r="R402" s="2"/>
      <c r="S402" s="2"/>
      <c r="T402" s="2"/>
      <c r="U402" s="2"/>
      <c r="V402" s="1"/>
      <c r="W402" s="1"/>
      <c r="X402" s="1"/>
      <c r="Y402" s="1"/>
      <c r="Z402" s="1"/>
      <c r="AA402" s="1"/>
      <c r="AB402" s="1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1"/>
      <c r="BY402" s="1"/>
      <c r="BZ402" s="1"/>
      <c r="CA402" s="1"/>
      <c r="CB402" s="1"/>
      <c r="CC402" s="1"/>
      <c r="CD402" s="3"/>
      <c r="CE402" s="3"/>
      <c r="CF402" s="1"/>
      <c r="CG402" s="1"/>
      <c r="CH402" s="3"/>
      <c r="CI402" s="3"/>
    </row>
    <row r="403" spans="16:87">
      <c r="P403" s="1"/>
      <c r="Q403" s="2"/>
      <c r="R403" s="2"/>
      <c r="S403" s="2"/>
      <c r="T403" s="2"/>
      <c r="U403" s="2"/>
      <c r="V403" s="1"/>
      <c r="W403" s="1"/>
      <c r="X403" s="1"/>
      <c r="Y403" s="1"/>
      <c r="Z403" s="1"/>
      <c r="AA403" s="1"/>
      <c r="AB403" s="1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1"/>
      <c r="BY403" s="1"/>
      <c r="BZ403" s="1"/>
      <c r="CA403" s="1"/>
      <c r="CB403" s="1"/>
      <c r="CC403" s="1"/>
      <c r="CD403" s="3"/>
      <c r="CE403" s="3"/>
      <c r="CF403" s="1"/>
      <c r="CG403" s="1"/>
      <c r="CH403" s="3"/>
      <c r="CI403" s="3"/>
    </row>
    <row r="404" spans="16:87">
      <c r="P404" s="1"/>
      <c r="Q404" s="2"/>
      <c r="R404" s="2"/>
      <c r="S404" s="2"/>
      <c r="T404" s="2"/>
      <c r="U404" s="2"/>
      <c r="V404" s="1"/>
      <c r="W404" s="1"/>
      <c r="X404" s="1"/>
      <c r="Y404" s="1"/>
      <c r="Z404" s="1"/>
      <c r="AA404" s="1"/>
      <c r="AB404" s="1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1"/>
      <c r="BY404" s="1"/>
      <c r="BZ404" s="1"/>
      <c r="CA404" s="1"/>
      <c r="CB404" s="1"/>
      <c r="CC404" s="1"/>
      <c r="CD404" s="3"/>
      <c r="CE404" s="3"/>
      <c r="CF404" s="1"/>
      <c r="CG404" s="1"/>
      <c r="CH404" s="3"/>
      <c r="CI404" s="3"/>
    </row>
    <row r="405" spans="16:87">
      <c r="P405" s="1"/>
      <c r="Q405" s="2"/>
      <c r="R405" s="2"/>
      <c r="S405" s="2"/>
      <c r="T405" s="2"/>
      <c r="U405" s="2"/>
      <c r="V405" s="1"/>
      <c r="W405" s="1"/>
      <c r="X405" s="1"/>
      <c r="Y405" s="1"/>
      <c r="Z405" s="1"/>
      <c r="AA405" s="1"/>
      <c r="AB405" s="1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1"/>
      <c r="BY405" s="1"/>
      <c r="BZ405" s="1"/>
      <c r="CA405" s="1"/>
      <c r="CB405" s="1"/>
      <c r="CC405" s="1"/>
      <c r="CD405" s="3"/>
      <c r="CE405" s="3"/>
      <c r="CF405" s="1"/>
      <c r="CG405" s="1"/>
      <c r="CH405" s="3"/>
      <c r="CI405" s="3"/>
    </row>
    <row r="406" spans="16:87">
      <c r="P406" s="1"/>
      <c r="Q406" s="2"/>
      <c r="R406" s="2"/>
      <c r="S406" s="2"/>
      <c r="T406" s="2"/>
      <c r="U406" s="2"/>
      <c r="V406" s="1"/>
      <c r="W406" s="1"/>
      <c r="X406" s="1"/>
      <c r="Y406" s="1"/>
      <c r="Z406" s="1"/>
      <c r="AA406" s="1"/>
      <c r="AB406" s="1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1"/>
      <c r="BY406" s="1"/>
      <c r="BZ406" s="1"/>
      <c r="CA406" s="1"/>
      <c r="CB406" s="1"/>
      <c r="CC406" s="1"/>
      <c r="CD406" s="3"/>
      <c r="CE406" s="3"/>
      <c r="CF406" s="1"/>
      <c r="CG406" s="1"/>
      <c r="CH406" s="3"/>
      <c r="CI406" s="3"/>
    </row>
    <row r="407" spans="16:87">
      <c r="P407" s="1"/>
      <c r="Q407" s="2"/>
      <c r="R407" s="2"/>
      <c r="S407" s="2"/>
      <c r="T407" s="2"/>
      <c r="U407" s="2"/>
      <c r="V407" s="1"/>
      <c r="W407" s="1"/>
      <c r="X407" s="1"/>
      <c r="Y407" s="1"/>
      <c r="Z407" s="1"/>
      <c r="AA407" s="1"/>
      <c r="AB407" s="1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1"/>
      <c r="BY407" s="1"/>
      <c r="BZ407" s="1"/>
      <c r="CA407" s="1"/>
      <c r="CB407" s="1"/>
      <c r="CC407" s="1"/>
      <c r="CD407" s="3"/>
      <c r="CE407" s="3"/>
      <c r="CF407" s="1"/>
      <c r="CG407" s="1"/>
      <c r="CH407" s="3"/>
      <c r="CI407" s="3"/>
    </row>
    <row r="408" spans="16:87">
      <c r="P408" s="1"/>
      <c r="Q408" s="2"/>
      <c r="R408" s="2"/>
      <c r="S408" s="2"/>
      <c r="T408" s="2"/>
      <c r="U408" s="2"/>
      <c r="V408" s="1"/>
      <c r="W408" s="1"/>
      <c r="X408" s="1"/>
      <c r="Y408" s="1"/>
      <c r="Z408" s="1"/>
      <c r="AA408" s="1"/>
      <c r="AB408" s="1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1"/>
      <c r="BY408" s="1"/>
      <c r="BZ408" s="1"/>
      <c r="CA408" s="1"/>
      <c r="CB408" s="1"/>
      <c r="CC408" s="1"/>
      <c r="CD408" s="3"/>
      <c r="CE408" s="3"/>
      <c r="CF408" s="1"/>
      <c r="CG408" s="1"/>
      <c r="CH408" s="3"/>
      <c r="CI408" s="3"/>
    </row>
    <row r="409" spans="16:87">
      <c r="P409" s="1"/>
      <c r="Q409" s="2"/>
      <c r="R409" s="2"/>
      <c r="S409" s="2"/>
      <c r="T409" s="2"/>
      <c r="U409" s="2"/>
      <c r="V409" s="1"/>
      <c r="W409" s="1"/>
      <c r="X409" s="1"/>
      <c r="Y409" s="1"/>
      <c r="Z409" s="1"/>
      <c r="AA409" s="1"/>
      <c r="AB409" s="1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1"/>
      <c r="BY409" s="1"/>
      <c r="BZ409" s="1"/>
      <c r="CA409" s="1"/>
      <c r="CB409" s="1"/>
      <c r="CC409" s="1"/>
      <c r="CD409" s="3"/>
      <c r="CE409" s="3"/>
      <c r="CF409" s="1"/>
      <c r="CG409" s="1"/>
      <c r="CH409" s="3"/>
      <c r="CI409" s="3"/>
    </row>
    <row r="410" spans="16:87">
      <c r="P410" s="1"/>
      <c r="Q410" s="2"/>
      <c r="R410" s="2"/>
      <c r="S410" s="2"/>
      <c r="T410" s="2"/>
      <c r="U410" s="2"/>
      <c r="V410" s="1"/>
      <c r="W410" s="1"/>
      <c r="X410" s="1"/>
      <c r="Y410" s="1"/>
      <c r="Z410" s="1"/>
      <c r="AA410" s="1"/>
      <c r="AB410" s="1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1"/>
      <c r="BY410" s="1"/>
      <c r="BZ410" s="1"/>
      <c r="CA410" s="1"/>
      <c r="CB410" s="1"/>
      <c r="CC410" s="1"/>
      <c r="CD410" s="3"/>
      <c r="CE410" s="3"/>
      <c r="CF410" s="1"/>
      <c r="CG410" s="1"/>
      <c r="CH410" s="3"/>
      <c r="CI410" s="3"/>
    </row>
    <row r="411" spans="16:87">
      <c r="P411" s="1"/>
      <c r="Q411" s="2"/>
      <c r="R411" s="2"/>
      <c r="S411" s="2"/>
      <c r="T411" s="2"/>
      <c r="U411" s="2"/>
      <c r="V411" s="1"/>
      <c r="W411" s="1"/>
      <c r="X411" s="1"/>
      <c r="Y411" s="1"/>
      <c r="Z411" s="1"/>
      <c r="AA411" s="1"/>
      <c r="AB411" s="1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1"/>
      <c r="BY411" s="1"/>
      <c r="BZ411" s="1"/>
      <c r="CA411" s="1"/>
      <c r="CB411" s="1"/>
      <c r="CC411" s="1"/>
      <c r="CD411" s="3"/>
      <c r="CE411" s="3"/>
      <c r="CF411" s="1"/>
      <c r="CG411" s="1"/>
      <c r="CH411" s="3"/>
      <c r="CI411" s="3"/>
    </row>
    <row r="412" spans="16:87">
      <c r="P412" s="1"/>
      <c r="Q412" s="2"/>
      <c r="R412" s="2"/>
      <c r="S412" s="2"/>
      <c r="T412" s="2"/>
      <c r="U412" s="2"/>
      <c r="V412" s="1"/>
      <c r="W412" s="1"/>
      <c r="X412" s="1"/>
      <c r="Y412" s="1"/>
      <c r="Z412" s="1"/>
      <c r="AA412" s="1"/>
      <c r="AB412" s="1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1"/>
      <c r="BY412" s="1"/>
      <c r="BZ412" s="1"/>
      <c r="CA412" s="1"/>
      <c r="CB412" s="1"/>
      <c r="CC412" s="1"/>
      <c r="CD412" s="3"/>
      <c r="CE412" s="3"/>
      <c r="CF412" s="1"/>
      <c r="CG412" s="1"/>
      <c r="CH412" s="3"/>
      <c r="CI412" s="3"/>
    </row>
    <row r="413" spans="16:87">
      <c r="P413" s="1"/>
      <c r="Q413" s="2"/>
      <c r="R413" s="2"/>
      <c r="S413" s="2"/>
      <c r="T413" s="2"/>
      <c r="U413" s="2"/>
      <c r="V413" s="1"/>
      <c r="W413" s="1"/>
      <c r="X413" s="1"/>
      <c r="Y413" s="1"/>
      <c r="Z413" s="1"/>
      <c r="AA413" s="1"/>
      <c r="AB413" s="1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1"/>
      <c r="BY413" s="1"/>
      <c r="BZ413" s="1"/>
      <c r="CA413" s="1"/>
      <c r="CB413" s="1"/>
      <c r="CC413" s="1"/>
      <c r="CD413" s="3"/>
      <c r="CE413" s="3"/>
      <c r="CF413" s="1"/>
      <c r="CG413" s="1"/>
      <c r="CH413" s="3"/>
      <c r="CI413" s="3"/>
    </row>
    <row r="414" spans="16:87">
      <c r="P414" s="1"/>
      <c r="Q414" s="2"/>
      <c r="R414" s="2"/>
      <c r="S414" s="2"/>
      <c r="T414" s="2"/>
      <c r="U414" s="2"/>
      <c r="V414" s="1"/>
      <c r="W414" s="1"/>
      <c r="X414" s="1"/>
      <c r="Y414" s="1"/>
      <c r="Z414" s="1"/>
      <c r="AA414" s="1"/>
      <c r="AB414" s="1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1"/>
      <c r="BY414" s="1"/>
      <c r="BZ414" s="1"/>
      <c r="CA414" s="1"/>
      <c r="CB414" s="1"/>
      <c r="CC414" s="1"/>
      <c r="CD414" s="3"/>
      <c r="CE414" s="3"/>
      <c r="CF414" s="1"/>
      <c r="CG414" s="1"/>
      <c r="CH414" s="3"/>
      <c r="CI414" s="3"/>
    </row>
    <row r="415" spans="16:87">
      <c r="P415" s="1"/>
      <c r="Q415" s="2"/>
      <c r="R415" s="2"/>
      <c r="S415" s="2"/>
      <c r="T415" s="2"/>
      <c r="U415" s="2"/>
      <c r="V415" s="1"/>
      <c r="W415" s="1"/>
      <c r="X415" s="1"/>
      <c r="Y415" s="1"/>
      <c r="Z415" s="1"/>
      <c r="AA415" s="1"/>
      <c r="AB415" s="1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1"/>
      <c r="BY415" s="1"/>
      <c r="BZ415" s="1"/>
      <c r="CA415" s="1"/>
      <c r="CB415" s="1"/>
      <c r="CC415" s="1"/>
      <c r="CD415" s="3"/>
      <c r="CE415" s="3"/>
      <c r="CF415" s="1"/>
      <c r="CG415" s="1"/>
      <c r="CH415" s="3"/>
      <c r="CI415" s="3"/>
    </row>
    <row r="416" spans="16:87">
      <c r="P416" s="1"/>
      <c r="Q416" s="2"/>
      <c r="R416" s="2"/>
      <c r="S416" s="2"/>
      <c r="T416" s="2"/>
      <c r="U416" s="2"/>
      <c r="V416" s="1"/>
      <c r="W416" s="1"/>
      <c r="X416" s="1"/>
      <c r="Y416" s="1"/>
      <c r="Z416" s="1"/>
      <c r="AA416" s="1"/>
      <c r="AB416" s="1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1"/>
      <c r="BY416" s="1"/>
      <c r="BZ416" s="1"/>
      <c r="CA416" s="1"/>
      <c r="CB416" s="1"/>
      <c r="CC416" s="1"/>
      <c r="CD416" s="3"/>
      <c r="CE416" s="3"/>
      <c r="CF416" s="1"/>
      <c r="CG416" s="1"/>
      <c r="CH416" s="3"/>
      <c r="CI416" s="3"/>
    </row>
    <row r="417" spans="16:87">
      <c r="P417" s="1"/>
      <c r="Q417" s="2"/>
      <c r="R417" s="2"/>
      <c r="S417" s="2"/>
      <c r="T417" s="2"/>
      <c r="U417" s="2"/>
      <c r="V417" s="1"/>
      <c r="W417" s="1"/>
      <c r="X417" s="1"/>
      <c r="Y417" s="1"/>
      <c r="Z417" s="1"/>
      <c r="AA417" s="1"/>
      <c r="AB417" s="1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1"/>
      <c r="BY417" s="1"/>
      <c r="BZ417" s="1"/>
      <c r="CA417" s="1"/>
      <c r="CB417" s="1"/>
      <c r="CC417" s="1"/>
      <c r="CD417" s="3"/>
      <c r="CE417" s="3"/>
      <c r="CF417" s="1"/>
      <c r="CG417" s="1"/>
      <c r="CH417" s="3"/>
      <c r="CI417" s="3"/>
    </row>
    <row r="418" spans="16:87">
      <c r="P418" s="1"/>
      <c r="Q418" s="2"/>
      <c r="R418" s="2"/>
      <c r="S418" s="2"/>
      <c r="T418" s="2"/>
      <c r="U418" s="2"/>
      <c r="V418" s="1"/>
      <c r="W418" s="1"/>
      <c r="X418" s="1"/>
      <c r="Y418" s="1"/>
      <c r="Z418" s="1"/>
      <c r="AA418" s="1"/>
      <c r="AB418" s="1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1"/>
      <c r="BY418" s="1"/>
      <c r="BZ418" s="1"/>
      <c r="CA418" s="1"/>
      <c r="CB418" s="1"/>
      <c r="CC418" s="1"/>
      <c r="CD418" s="3"/>
      <c r="CE418" s="3"/>
      <c r="CF418" s="1"/>
      <c r="CG418" s="1"/>
      <c r="CH418" s="3"/>
      <c r="CI418" s="3"/>
    </row>
    <row r="419" spans="16:87">
      <c r="P419" s="1"/>
      <c r="Q419" s="2"/>
      <c r="R419" s="2"/>
      <c r="S419" s="2"/>
      <c r="T419" s="2"/>
      <c r="U419" s="2"/>
      <c r="V419" s="1"/>
      <c r="W419" s="1"/>
      <c r="X419" s="1"/>
      <c r="Y419" s="1"/>
      <c r="Z419" s="1"/>
      <c r="AA419" s="1"/>
      <c r="AB419" s="1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1"/>
      <c r="BY419" s="1"/>
      <c r="BZ419" s="1"/>
      <c r="CA419" s="1"/>
      <c r="CB419" s="1"/>
      <c r="CC419" s="1"/>
      <c r="CD419" s="3"/>
      <c r="CE419" s="3"/>
      <c r="CF419" s="1"/>
      <c r="CG419" s="1"/>
      <c r="CH419" s="3"/>
      <c r="CI419" s="3"/>
    </row>
    <row r="420" spans="16:87">
      <c r="P420" s="1"/>
      <c r="Q420" s="2"/>
      <c r="R420" s="2"/>
      <c r="S420" s="2"/>
      <c r="T420" s="2"/>
      <c r="U420" s="2"/>
      <c r="V420" s="1"/>
      <c r="W420" s="1"/>
      <c r="X420" s="1"/>
      <c r="Y420" s="1"/>
      <c r="Z420" s="1"/>
      <c r="AA420" s="1"/>
      <c r="AB420" s="1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1"/>
      <c r="BY420" s="1"/>
      <c r="BZ420" s="1"/>
      <c r="CA420" s="1"/>
      <c r="CB420" s="1"/>
      <c r="CC420" s="1"/>
      <c r="CD420" s="3"/>
      <c r="CE420" s="3"/>
      <c r="CF420" s="1"/>
      <c r="CG420" s="1"/>
      <c r="CH420" s="3"/>
      <c r="CI420" s="3"/>
    </row>
    <row r="421" spans="16:87">
      <c r="P421" s="1"/>
      <c r="Q421" s="2"/>
      <c r="R421" s="2"/>
      <c r="S421" s="2"/>
      <c r="T421" s="2"/>
      <c r="U421" s="2"/>
      <c r="V421" s="1"/>
      <c r="W421" s="1"/>
      <c r="X421" s="1"/>
      <c r="Y421" s="1"/>
      <c r="Z421" s="1"/>
      <c r="AA421" s="1"/>
      <c r="AB421" s="1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1"/>
      <c r="BY421" s="1"/>
      <c r="BZ421" s="1"/>
      <c r="CA421" s="1"/>
      <c r="CB421" s="1"/>
      <c r="CC421" s="1"/>
      <c r="CD421" s="3"/>
      <c r="CE421" s="3"/>
      <c r="CF421" s="1"/>
      <c r="CG421" s="1"/>
      <c r="CH421" s="3"/>
      <c r="CI421" s="3"/>
    </row>
    <row r="422" spans="16:87">
      <c r="P422" s="1"/>
      <c r="Q422" s="2"/>
      <c r="R422" s="2"/>
      <c r="S422" s="2"/>
      <c r="T422" s="2"/>
      <c r="U422" s="2"/>
      <c r="V422" s="1"/>
      <c r="W422" s="1"/>
      <c r="X422" s="1"/>
      <c r="Y422" s="1"/>
      <c r="Z422" s="1"/>
      <c r="AA422" s="1"/>
      <c r="AB422" s="1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1"/>
      <c r="BY422" s="1"/>
      <c r="BZ422" s="1"/>
      <c r="CA422" s="1"/>
      <c r="CB422" s="1"/>
      <c r="CC422" s="1"/>
      <c r="CD422" s="3"/>
      <c r="CE422" s="3"/>
      <c r="CF422" s="1"/>
      <c r="CG422" s="1"/>
      <c r="CH422" s="3"/>
      <c r="CI422" s="3"/>
    </row>
    <row r="423" spans="16:87">
      <c r="P423" s="1"/>
      <c r="Q423" s="2"/>
      <c r="R423" s="2"/>
      <c r="S423" s="2"/>
      <c r="T423" s="2"/>
      <c r="U423" s="2"/>
      <c r="V423" s="1"/>
      <c r="W423" s="1"/>
      <c r="X423" s="1"/>
      <c r="Y423" s="1"/>
      <c r="Z423" s="1"/>
      <c r="AA423" s="1"/>
      <c r="AB423" s="1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1"/>
      <c r="BY423" s="1"/>
      <c r="BZ423" s="1"/>
      <c r="CA423" s="1"/>
      <c r="CB423" s="1"/>
      <c r="CC423" s="1"/>
      <c r="CD423" s="3"/>
      <c r="CE423" s="3"/>
      <c r="CF423" s="1"/>
      <c r="CG423" s="1"/>
      <c r="CH423" s="3"/>
      <c r="CI423" s="3"/>
    </row>
    <row r="424" spans="16:87">
      <c r="P424" s="1"/>
      <c r="Q424" s="2"/>
      <c r="R424" s="2"/>
      <c r="S424" s="2"/>
      <c r="T424" s="2"/>
      <c r="U424" s="2"/>
      <c r="V424" s="1"/>
      <c r="W424" s="1"/>
      <c r="X424" s="1"/>
      <c r="Y424" s="1"/>
      <c r="Z424" s="1"/>
      <c r="AA424" s="1"/>
      <c r="AB424" s="1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1"/>
      <c r="BY424" s="1"/>
      <c r="BZ424" s="1"/>
      <c r="CA424" s="1"/>
      <c r="CB424" s="1"/>
      <c r="CC424" s="1"/>
      <c r="CD424" s="3"/>
      <c r="CE424" s="3"/>
      <c r="CF424" s="1"/>
      <c r="CG424" s="1"/>
      <c r="CH424" s="3"/>
      <c r="CI424" s="3"/>
    </row>
    <row r="425" spans="16:87">
      <c r="P425" s="1"/>
      <c r="Q425" s="2"/>
      <c r="R425" s="2"/>
      <c r="S425" s="2"/>
      <c r="T425" s="2"/>
      <c r="U425" s="2"/>
      <c r="V425" s="1"/>
      <c r="W425" s="1"/>
      <c r="X425" s="1"/>
      <c r="Y425" s="1"/>
      <c r="Z425" s="1"/>
      <c r="AA425" s="1"/>
      <c r="AB425" s="1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1"/>
      <c r="BY425" s="1"/>
      <c r="BZ425" s="1"/>
      <c r="CA425" s="1"/>
      <c r="CB425" s="1"/>
      <c r="CC425" s="1"/>
      <c r="CD425" s="3"/>
      <c r="CE425" s="3"/>
      <c r="CF425" s="1"/>
      <c r="CG425" s="1"/>
      <c r="CH425" s="3"/>
      <c r="CI425" s="3"/>
    </row>
    <row r="426" spans="16:87">
      <c r="P426" s="1"/>
      <c r="Q426" s="2"/>
      <c r="R426" s="2"/>
      <c r="S426" s="2"/>
      <c r="T426" s="2"/>
      <c r="U426" s="2"/>
      <c r="V426" s="1"/>
      <c r="W426" s="1"/>
      <c r="X426" s="1"/>
      <c r="Y426" s="1"/>
      <c r="Z426" s="1"/>
      <c r="AA426" s="1"/>
      <c r="AB426" s="1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1"/>
      <c r="BY426" s="1"/>
      <c r="BZ426" s="1"/>
      <c r="CA426" s="1"/>
      <c r="CB426" s="1"/>
      <c r="CC426" s="1"/>
      <c r="CD426" s="3"/>
      <c r="CE426" s="3"/>
      <c r="CF426" s="1"/>
      <c r="CG426" s="1"/>
      <c r="CH426" s="3"/>
      <c r="CI426" s="3"/>
    </row>
    <row r="427" spans="16:87">
      <c r="P427" s="1"/>
      <c r="Q427" s="2"/>
      <c r="R427" s="2"/>
      <c r="S427" s="2"/>
      <c r="T427" s="2"/>
      <c r="U427" s="2"/>
      <c r="V427" s="1"/>
      <c r="W427" s="1"/>
      <c r="X427" s="1"/>
      <c r="Y427" s="1"/>
      <c r="Z427" s="1"/>
      <c r="AA427" s="1"/>
      <c r="AB427" s="1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1"/>
      <c r="BY427" s="1"/>
      <c r="BZ427" s="1"/>
      <c r="CA427" s="1"/>
      <c r="CB427" s="1"/>
      <c r="CC427" s="1"/>
      <c r="CD427" s="3"/>
      <c r="CE427" s="3"/>
      <c r="CF427" s="1"/>
      <c r="CG427" s="1"/>
      <c r="CH427" s="3"/>
      <c r="CI427" s="3"/>
    </row>
    <row r="428" spans="16:87">
      <c r="P428" s="1"/>
      <c r="Q428" s="2"/>
      <c r="R428" s="2"/>
      <c r="S428" s="2"/>
      <c r="T428" s="2"/>
      <c r="U428" s="2"/>
      <c r="V428" s="1"/>
      <c r="W428" s="1"/>
      <c r="X428" s="1"/>
      <c r="Y428" s="1"/>
      <c r="Z428" s="1"/>
      <c r="AA428" s="1"/>
      <c r="AB428" s="1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1"/>
      <c r="BY428" s="1"/>
      <c r="BZ428" s="1"/>
      <c r="CA428" s="1"/>
      <c r="CB428" s="1"/>
      <c r="CC428" s="1"/>
      <c r="CD428" s="3"/>
      <c r="CE428" s="3"/>
      <c r="CF428" s="1"/>
      <c r="CG428" s="1"/>
      <c r="CH428" s="3"/>
      <c r="CI428" s="3"/>
    </row>
    <row r="429" spans="16:87">
      <c r="P429" s="1"/>
      <c r="Q429" s="2"/>
      <c r="R429" s="2"/>
      <c r="S429" s="2"/>
      <c r="T429" s="2"/>
      <c r="U429" s="2"/>
      <c r="V429" s="1"/>
      <c r="W429" s="1"/>
      <c r="X429" s="1"/>
      <c r="Y429" s="1"/>
      <c r="Z429" s="1"/>
      <c r="AA429" s="1"/>
      <c r="AB429" s="1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1"/>
      <c r="BY429" s="1"/>
      <c r="BZ429" s="1"/>
      <c r="CA429" s="1"/>
      <c r="CB429" s="1"/>
      <c r="CC429" s="1"/>
      <c r="CD429" s="3"/>
      <c r="CE429" s="3"/>
      <c r="CF429" s="1"/>
      <c r="CG429" s="1"/>
      <c r="CH429" s="3"/>
      <c r="CI429" s="3"/>
    </row>
    <row r="430" spans="16:87">
      <c r="P430" s="1"/>
      <c r="Q430" s="2"/>
      <c r="R430" s="2"/>
      <c r="S430" s="2"/>
      <c r="T430" s="2"/>
      <c r="U430" s="2"/>
      <c r="V430" s="1"/>
      <c r="W430" s="1"/>
      <c r="X430" s="1"/>
      <c r="Y430" s="1"/>
      <c r="Z430" s="1"/>
      <c r="AA430" s="1"/>
      <c r="AB430" s="1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1"/>
      <c r="BY430" s="1"/>
      <c r="BZ430" s="1"/>
      <c r="CA430" s="1"/>
      <c r="CB430" s="1"/>
      <c r="CC430" s="1"/>
      <c r="CD430" s="3"/>
      <c r="CE430" s="3"/>
      <c r="CF430" s="1"/>
      <c r="CG430" s="1"/>
      <c r="CH430" s="3"/>
      <c r="CI430" s="3"/>
    </row>
    <row r="431" spans="16:87">
      <c r="P431" s="1"/>
      <c r="Q431" s="2"/>
      <c r="R431" s="2"/>
      <c r="S431" s="2"/>
      <c r="T431" s="2"/>
      <c r="U431" s="2"/>
      <c r="V431" s="1"/>
      <c r="W431" s="1"/>
      <c r="X431" s="1"/>
      <c r="Y431" s="1"/>
      <c r="Z431" s="1"/>
      <c r="AA431" s="1"/>
      <c r="AB431" s="1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1"/>
      <c r="BY431" s="1"/>
      <c r="BZ431" s="1"/>
      <c r="CA431" s="1"/>
      <c r="CB431" s="1"/>
      <c r="CC431" s="1"/>
      <c r="CD431" s="3"/>
      <c r="CE431" s="3"/>
      <c r="CF431" s="1"/>
      <c r="CG431" s="1"/>
      <c r="CH431" s="3"/>
      <c r="CI431" s="3"/>
    </row>
    <row r="432" spans="16:87">
      <c r="P432" s="1"/>
      <c r="Q432" s="2"/>
      <c r="R432" s="2"/>
      <c r="S432" s="2"/>
      <c r="T432" s="2"/>
      <c r="U432" s="2"/>
      <c r="V432" s="1"/>
      <c r="W432" s="1"/>
      <c r="X432" s="1"/>
      <c r="Y432" s="1"/>
      <c r="Z432" s="1"/>
      <c r="AA432" s="1"/>
      <c r="AB432" s="1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1"/>
      <c r="BY432" s="1"/>
      <c r="BZ432" s="1"/>
      <c r="CA432" s="1"/>
      <c r="CB432" s="1"/>
      <c r="CC432" s="1"/>
      <c r="CD432" s="3"/>
      <c r="CE432" s="3"/>
      <c r="CF432" s="1"/>
      <c r="CG432" s="1"/>
      <c r="CH432" s="3"/>
      <c r="CI432" s="3"/>
    </row>
    <row r="433" spans="16:87">
      <c r="P433" s="1"/>
      <c r="Q433" s="2"/>
      <c r="R433" s="2"/>
      <c r="S433" s="2"/>
      <c r="T433" s="2"/>
      <c r="U433" s="2"/>
      <c r="V433" s="1"/>
      <c r="W433" s="1"/>
      <c r="X433" s="1"/>
      <c r="Y433" s="1"/>
      <c r="Z433" s="1"/>
      <c r="AA433" s="1"/>
      <c r="AB433" s="1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1"/>
      <c r="BY433" s="1"/>
      <c r="BZ433" s="1"/>
      <c r="CA433" s="1"/>
      <c r="CB433" s="1"/>
      <c r="CC433" s="1"/>
      <c r="CD433" s="3"/>
      <c r="CE433" s="3"/>
      <c r="CF433" s="1"/>
      <c r="CG433" s="1"/>
      <c r="CH433" s="3"/>
      <c r="CI433" s="3"/>
    </row>
    <row r="434" spans="16:87">
      <c r="P434" s="1"/>
      <c r="Q434" s="2"/>
      <c r="R434" s="2"/>
      <c r="S434" s="2"/>
      <c r="T434" s="2"/>
      <c r="U434" s="2"/>
      <c r="V434" s="1"/>
      <c r="W434" s="1"/>
      <c r="X434" s="1"/>
      <c r="Y434" s="1"/>
      <c r="Z434" s="1"/>
      <c r="AA434" s="1"/>
      <c r="AB434" s="1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1"/>
      <c r="BY434" s="1"/>
      <c r="BZ434" s="1"/>
      <c r="CA434" s="1"/>
      <c r="CB434" s="1"/>
      <c r="CC434" s="1"/>
      <c r="CD434" s="3"/>
      <c r="CE434" s="3"/>
      <c r="CF434" s="1"/>
      <c r="CG434" s="1"/>
      <c r="CH434" s="3"/>
      <c r="CI434" s="3"/>
    </row>
    <row r="435" spans="16:87">
      <c r="P435" s="1"/>
      <c r="Q435" s="2"/>
      <c r="R435" s="2"/>
      <c r="S435" s="2"/>
      <c r="T435" s="2"/>
      <c r="U435" s="2"/>
      <c r="V435" s="1"/>
      <c r="W435" s="1"/>
      <c r="X435" s="1"/>
      <c r="Y435" s="1"/>
      <c r="Z435" s="1"/>
      <c r="AA435" s="1"/>
      <c r="AB435" s="1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1"/>
      <c r="BY435" s="1"/>
      <c r="BZ435" s="1"/>
      <c r="CA435" s="1"/>
      <c r="CB435" s="1"/>
      <c r="CC435" s="1"/>
      <c r="CD435" s="3"/>
      <c r="CE435" s="3"/>
      <c r="CF435" s="1"/>
      <c r="CG435" s="1"/>
      <c r="CH435" s="3"/>
      <c r="CI435" s="3"/>
    </row>
    <row r="436" spans="16:87">
      <c r="P436" s="1"/>
      <c r="Q436" s="2"/>
      <c r="R436" s="2"/>
      <c r="S436" s="2"/>
      <c r="T436" s="2"/>
      <c r="U436" s="2"/>
      <c r="V436" s="1"/>
      <c r="W436" s="1"/>
      <c r="X436" s="1"/>
      <c r="Y436" s="1"/>
      <c r="Z436" s="1"/>
      <c r="AA436" s="1"/>
      <c r="AB436" s="1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1"/>
      <c r="BY436" s="1"/>
      <c r="BZ436" s="1"/>
      <c r="CA436" s="1"/>
      <c r="CB436" s="1"/>
      <c r="CC436" s="1"/>
      <c r="CD436" s="3"/>
      <c r="CE436" s="3"/>
      <c r="CF436" s="1"/>
      <c r="CG436" s="1"/>
      <c r="CH436" s="3"/>
      <c r="CI436" s="3"/>
    </row>
    <row r="437" spans="16:87">
      <c r="P437" s="1"/>
      <c r="Q437" s="2"/>
      <c r="R437" s="2"/>
      <c r="S437" s="2"/>
      <c r="T437" s="2"/>
      <c r="U437" s="2"/>
      <c r="V437" s="1"/>
      <c r="W437" s="1"/>
      <c r="X437" s="1"/>
      <c r="Y437" s="1"/>
      <c r="Z437" s="1"/>
      <c r="AA437" s="1"/>
      <c r="AB437" s="1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1"/>
      <c r="BY437" s="1"/>
      <c r="BZ437" s="1"/>
      <c r="CA437" s="1"/>
      <c r="CB437" s="1"/>
      <c r="CC437" s="1"/>
      <c r="CD437" s="3"/>
      <c r="CE437" s="3"/>
      <c r="CF437" s="1"/>
      <c r="CG437" s="1"/>
      <c r="CH437" s="3"/>
      <c r="CI437" s="3"/>
    </row>
    <row r="438" spans="16:87">
      <c r="P438" s="1"/>
      <c r="Q438" s="2"/>
      <c r="R438" s="2"/>
      <c r="S438" s="2"/>
      <c r="T438" s="2"/>
      <c r="U438" s="2"/>
      <c r="V438" s="1"/>
      <c r="W438" s="1"/>
      <c r="X438" s="1"/>
      <c r="Y438" s="1"/>
      <c r="Z438" s="1"/>
      <c r="AA438" s="1"/>
      <c r="AB438" s="1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1"/>
      <c r="BY438" s="1"/>
      <c r="BZ438" s="1"/>
      <c r="CA438" s="1"/>
      <c r="CB438" s="1"/>
      <c r="CC438" s="1"/>
      <c r="CD438" s="3"/>
      <c r="CE438" s="3"/>
      <c r="CF438" s="1"/>
      <c r="CG438" s="1"/>
      <c r="CH438" s="3"/>
      <c r="CI438" s="3"/>
    </row>
    <row r="439" spans="16:87">
      <c r="P439" s="1"/>
      <c r="Q439" s="2"/>
      <c r="R439" s="2"/>
      <c r="S439" s="2"/>
      <c r="T439" s="2"/>
      <c r="U439" s="2"/>
      <c r="V439" s="1"/>
      <c r="W439" s="1"/>
      <c r="X439" s="1"/>
      <c r="Y439" s="1"/>
      <c r="Z439" s="1"/>
      <c r="AA439" s="1"/>
      <c r="AB439" s="1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1"/>
      <c r="BY439" s="1"/>
      <c r="BZ439" s="1"/>
      <c r="CA439" s="1"/>
      <c r="CB439" s="1"/>
      <c r="CC439" s="1"/>
      <c r="CD439" s="3"/>
      <c r="CE439" s="3"/>
      <c r="CF439" s="1"/>
      <c r="CG439" s="1"/>
      <c r="CH439" s="3"/>
      <c r="CI439" s="3"/>
    </row>
    <row r="440" spans="16:87">
      <c r="P440" s="1"/>
      <c r="Q440" s="2"/>
      <c r="R440" s="2"/>
      <c r="S440" s="2"/>
      <c r="T440" s="2"/>
      <c r="U440" s="2"/>
      <c r="V440" s="1"/>
      <c r="W440" s="1"/>
      <c r="X440" s="1"/>
      <c r="Y440" s="1"/>
      <c r="Z440" s="1"/>
      <c r="AA440" s="1"/>
      <c r="AB440" s="1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1"/>
      <c r="BY440" s="1"/>
      <c r="BZ440" s="1"/>
      <c r="CA440" s="1"/>
      <c r="CB440" s="1"/>
      <c r="CC440" s="1"/>
      <c r="CD440" s="3"/>
      <c r="CE440" s="3"/>
      <c r="CF440" s="1"/>
      <c r="CG440" s="1"/>
      <c r="CH440" s="3"/>
      <c r="CI440" s="3"/>
    </row>
    <row r="441" spans="16:87">
      <c r="P441" s="1"/>
      <c r="Q441" s="2"/>
      <c r="R441" s="2"/>
      <c r="S441" s="2"/>
      <c r="T441" s="2"/>
      <c r="U441" s="2"/>
      <c r="V441" s="1"/>
      <c r="W441" s="1"/>
      <c r="X441" s="1"/>
      <c r="Y441" s="1"/>
      <c r="Z441" s="1"/>
      <c r="AA441" s="1"/>
      <c r="AB441" s="1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1"/>
      <c r="BY441" s="1"/>
      <c r="BZ441" s="1"/>
      <c r="CA441" s="1"/>
      <c r="CB441" s="1"/>
      <c r="CC441" s="1"/>
      <c r="CD441" s="3"/>
      <c r="CE441" s="3"/>
      <c r="CF441" s="1"/>
      <c r="CG441" s="1"/>
      <c r="CH441" s="3"/>
      <c r="CI441" s="3"/>
    </row>
    <row r="442" spans="16:87">
      <c r="P442" s="1"/>
      <c r="Q442" s="2"/>
      <c r="R442" s="2"/>
      <c r="S442" s="2"/>
      <c r="T442" s="2"/>
      <c r="U442" s="2"/>
      <c r="V442" s="1"/>
      <c r="W442" s="1"/>
      <c r="X442" s="1"/>
      <c r="Y442" s="1"/>
      <c r="Z442" s="1"/>
      <c r="AA442" s="1"/>
      <c r="AB442" s="1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1"/>
      <c r="BY442" s="1"/>
      <c r="BZ442" s="1"/>
      <c r="CA442" s="1"/>
      <c r="CB442" s="1"/>
      <c r="CC442" s="1"/>
      <c r="CD442" s="3"/>
      <c r="CE442" s="3"/>
      <c r="CF442" s="1"/>
      <c r="CG442" s="1"/>
      <c r="CH442" s="3"/>
      <c r="CI442" s="3"/>
    </row>
    <row r="443" spans="16:87">
      <c r="P443" s="1"/>
      <c r="Q443" s="2"/>
      <c r="R443" s="2"/>
      <c r="S443" s="2"/>
      <c r="T443" s="2"/>
      <c r="U443" s="2"/>
      <c r="V443" s="1"/>
      <c r="W443" s="1"/>
      <c r="X443" s="1"/>
      <c r="Y443" s="1"/>
      <c r="Z443" s="1"/>
      <c r="AA443" s="1"/>
      <c r="AB443" s="1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1"/>
      <c r="BY443" s="1"/>
      <c r="BZ443" s="1"/>
      <c r="CA443" s="1"/>
      <c r="CB443" s="1"/>
      <c r="CC443" s="1"/>
      <c r="CD443" s="3"/>
      <c r="CE443" s="3"/>
      <c r="CF443" s="1"/>
      <c r="CG443" s="1"/>
      <c r="CH443" s="3"/>
      <c r="CI443" s="3"/>
    </row>
    <row r="444" spans="16:87">
      <c r="P444" s="1"/>
      <c r="Q444" s="2"/>
      <c r="R444" s="2"/>
      <c r="S444" s="2"/>
      <c r="T444" s="2"/>
      <c r="U444" s="2"/>
      <c r="V444" s="1"/>
      <c r="W444" s="1"/>
      <c r="X444" s="1"/>
      <c r="Y444" s="1"/>
      <c r="Z444" s="1"/>
      <c r="AA444" s="1"/>
      <c r="AB444" s="1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1"/>
      <c r="BY444" s="1"/>
      <c r="BZ444" s="1"/>
      <c r="CA444" s="1"/>
      <c r="CB444" s="1"/>
      <c r="CC444" s="1"/>
      <c r="CD444" s="3"/>
      <c r="CE444" s="3"/>
      <c r="CF444" s="1"/>
      <c r="CG444" s="1"/>
      <c r="CH444" s="3"/>
      <c r="CI444" s="3"/>
    </row>
    <row r="445" spans="16:87">
      <c r="P445" s="1"/>
      <c r="Q445" s="2"/>
      <c r="R445" s="2"/>
      <c r="S445" s="2"/>
      <c r="T445" s="2"/>
      <c r="U445" s="2"/>
      <c r="V445" s="1"/>
      <c r="W445" s="1"/>
      <c r="X445" s="1"/>
      <c r="Y445" s="1"/>
      <c r="Z445" s="1"/>
      <c r="AA445" s="1"/>
      <c r="AB445" s="1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1"/>
      <c r="BY445" s="1"/>
      <c r="BZ445" s="1"/>
      <c r="CA445" s="1"/>
      <c r="CB445" s="1"/>
      <c r="CC445" s="1"/>
      <c r="CD445" s="3"/>
      <c r="CE445" s="3"/>
      <c r="CF445" s="1"/>
      <c r="CG445" s="1"/>
      <c r="CH445" s="3"/>
      <c r="CI445" s="3"/>
    </row>
    <row r="446" spans="16:87">
      <c r="P446" s="1"/>
      <c r="Q446" s="2"/>
      <c r="R446" s="2"/>
      <c r="S446" s="2"/>
      <c r="T446" s="2"/>
      <c r="U446" s="2"/>
      <c r="V446" s="1"/>
      <c r="W446" s="1"/>
      <c r="X446" s="1"/>
      <c r="Y446" s="1"/>
      <c r="Z446" s="1"/>
      <c r="AA446" s="1"/>
      <c r="AB446" s="1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1"/>
      <c r="BY446" s="1"/>
      <c r="BZ446" s="1"/>
      <c r="CA446" s="1"/>
      <c r="CB446" s="1"/>
      <c r="CC446" s="1"/>
      <c r="CD446" s="3"/>
      <c r="CE446" s="3"/>
      <c r="CF446" s="1"/>
      <c r="CG446" s="1"/>
      <c r="CH446" s="3"/>
      <c r="CI446" s="3"/>
    </row>
    <row r="447" spans="16:87">
      <c r="P447" s="1"/>
      <c r="Q447" s="2"/>
      <c r="R447" s="2"/>
      <c r="S447" s="2"/>
      <c r="T447" s="2"/>
      <c r="U447" s="2"/>
      <c r="V447" s="1"/>
      <c r="W447" s="1"/>
      <c r="X447" s="1"/>
      <c r="Y447" s="1"/>
      <c r="Z447" s="1"/>
      <c r="AA447" s="1"/>
      <c r="AB447" s="1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1"/>
      <c r="BY447" s="1"/>
      <c r="BZ447" s="1"/>
      <c r="CA447" s="1"/>
      <c r="CB447" s="1"/>
      <c r="CC447" s="1"/>
      <c r="CD447" s="3"/>
      <c r="CE447" s="3"/>
      <c r="CF447" s="1"/>
      <c r="CG447" s="1"/>
      <c r="CH447" s="3"/>
      <c r="CI447" s="3"/>
    </row>
    <row r="448" spans="16:87">
      <c r="P448" s="1"/>
      <c r="Q448" s="2"/>
      <c r="R448" s="2"/>
      <c r="S448" s="2"/>
      <c r="T448" s="2"/>
      <c r="U448" s="2"/>
      <c r="V448" s="1"/>
      <c r="W448" s="1"/>
      <c r="X448" s="1"/>
      <c r="Y448" s="1"/>
      <c r="Z448" s="1"/>
      <c r="AA448" s="1"/>
      <c r="AB448" s="1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1"/>
      <c r="BY448" s="1"/>
      <c r="BZ448" s="1"/>
      <c r="CA448" s="1"/>
      <c r="CB448" s="1"/>
      <c r="CC448" s="1"/>
      <c r="CD448" s="3"/>
      <c r="CE448" s="3"/>
      <c r="CF448" s="1"/>
      <c r="CG448" s="1"/>
      <c r="CH448" s="3"/>
      <c r="CI448" s="3"/>
    </row>
    <row r="449" spans="16:87">
      <c r="P449" s="1"/>
      <c r="Q449" s="2"/>
      <c r="R449" s="2"/>
      <c r="S449" s="2"/>
      <c r="T449" s="2"/>
      <c r="U449" s="2"/>
      <c r="V449" s="1"/>
      <c r="W449" s="1"/>
      <c r="X449" s="1"/>
      <c r="Y449" s="1"/>
      <c r="Z449" s="1"/>
      <c r="AA449" s="1"/>
      <c r="AB449" s="1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1"/>
      <c r="BY449" s="1"/>
      <c r="BZ449" s="1"/>
      <c r="CA449" s="1"/>
      <c r="CB449" s="1"/>
      <c r="CC449" s="1"/>
      <c r="CD449" s="3"/>
      <c r="CE449" s="3"/>
      <c r="CF449" s="1"/>
      <c r="CG449" s="1"/>
      <c r="CH449" s="3"/>
      <c r="CI449" s="3"/>
    </row>
    <row r="450" spans="16:87">
      <c r="P450" s="1"/>
      <c r="Q450" s="2"/>
      <c r="R450" s="2"/>
      <c r="S450" s="2"/>
      <c r="T450" s="2"/>
      <c r="U450" s="2"/>
      <c r="V450" s="1"/>
      <c r="W450" s="1"/>
      <c r="X450" s="1"/>
      <c r="Y450" s="1"/>
      <c r="Z450" s="1"/>
      <c r="AA450" s="1"/>
      <c r="AB450" s="1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1"/>
      <c r="BY450" s="1"/>
      <c r="BZ450" s="1"/>
      <c r="CA450" s="1"/>
      <c r="CB450" s="1"/>
      <c r="CC450" s="1"/>
      <c r="CD450" s="3"/>
      <c r="CE450" s="3"/>
      <c r="CF450" s="1"/>
      <c r="CG450" s="1"/>
      <c r="CH450" s="3"/>
      <c r="CI450" s="3"/>
    </row>
    <row r="451" spans="16:87">
      <c r="P451" s="1"/>
      <c r="Q451" s="2"/>
      <c r="R451" s="2"/>
      <c r="S451" s="2"/>
      <c r="T451" s="2"/>
      <c r="U451" s="2"/>
      <c r="V451" s="1"/>
      <c r="W451" s="1"/>
      <c r="X451" s="1"/>
      <c r="Y451" s="1"/>
      <c r="Z451" s="1"/>
      <c r="AA451" s="1"/>
      <c r="AB451" s="1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1"/>
      <c r="BY451" s="1"/>
      <c r="BZ451" s="1"/>
      <c r="CA451" s="1"/>
      <c r="CB451" s="1"/>
      <c r="CC451" s="1"/>
      <c r="CD451" s="3"/>
      <c r="CE451" s="3"/>
      <c r="CF451" s="1"/>
      <c r="CG451" s="1"/>
      <c r="CH451" s="3"/>
      <c r="CI451" s="3"/>
    </row>
    <row r="452" spans="16:87">
      <c r="P452" s="1"/>
      <c r="Q452" s="2"/>
      <c r="R452" s="2"/>
      <c r="S452" s="2"/>
      <c r="T452" s="2"/>
      <c r="U452" s="2"/>
      <c r="V452" s="1"/>
      <c r="W452" s="1"/>
      <c r="X452" s="1"/>
      <c r="Y452" s="1"/>
      <c r="Z452" s="1"/>
      <c r="AA452" s="1"/>
      <c r="AB452" s="1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1"/>
      <c r="BY452" s="1"/>
      <c r="BZ452" s="1"/>
      <c r="CA452" s="1"/>
      <c r="CB452" s="1"/>
      <c r="CC452" s="1"/>
      <c r="CD452" s="3"/>
      <c r="CE452" s="3"/>
      <c r="CF452" s="1"/>
      <c r="CG452" s="1"/>
      <c r="CH452" s="3"/>
      <c r="CI452" s="3"/>
    </row>
    <row r="453" spans="16:87">
      <c r="P453" s="1"/>
      <c r="Q453" s="2"/>
      <c r="R453" s="2"/>
      <c r="S453" s="2"/>
      <c r="T453" s="2"/>
      <c r="U453" s="2"/>
      <c r="V453" s="1"/>
      <c r="W453" s="1"/>
      <c r="X453" s="1"/>
      <c r="Y453" s="1"/>
      <c r="Z453" s="1"/>
      <c r="AA453" s="1"/>
      <c r="AB453" s="1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1"/>
      <c r="BY453" s="1"/>
      <c r="BZ453" s="1"/>
      <c r="CA453" s="1"/>
      <c r="CB453" s="1"/>
      <c r="CC453" s="1"/>
      <c r="CD453" s="3"/>
      <c r="CE453" s="3"/>
      <c r="CF453" s="1"/>
      <c r="CG453" s="1"/>
      <c r="CH453" s="3"/>
      <c r="CI453" s="3"/>
    </row>
    <row r="454" spans="16:87">
      <c r="P454" s="1"/>
      <c r="Q454" s="2"/>
      <c r="R454" s="2"/>
      <c r="S454" s="2"/>
      <c r="T454" s="2"/>
      <c r="U454" s="2"/>
      <c r="V454" s="1"/>
      <c r="W454" s="1"/>
      <c r="X454" s="1"/>
      <c r="Y454" s="1"/>
      <c r="Z454" s="1"/>
      <c r="AA454" s="1"/>
      <c r="AB454" s="1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1"/>
      <c r="BY454" s="1"/>
      <c r="BZ454" s="1"/>
      <c r="CA454" s="1"/>
      <c r="CB454" s="1"/>
      <c r="CC454" s="1"/>
      <c r="CD454" s="3"/>
      <c r="CE454" s="3"/>
      <c r="CF454" s="1"/>
      <c r="CG454" s="1"/>
      <c r="CH454" s="3"/>
      <c r="CI454" s="3"/>
    </row>
    <row r="455" spans="16:87">
      <c r="P455" s="1"/>
      <c r="Q455" s="2"/>
      <c r="R455" s="2"/>
      <c r="S455" s="2"/>
      <c r="T455" s="2"/>
      <c r="U455" s="2"/>
      <c r="V455" s="1"/>
      <c r="W455" s="1"/>
      <c r="X455" s="1"/>
      <c r="Y455" s="1"/>
      <c r="Z455" s="1"/>
      <c r="AA455" s="1"/>
      <c r="AB455" s="1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1"/>
      <c r="BY455" s="1"/>
      <c r="BZ455" s="1"/>
      <c r="CA455" s="1"/>
      <c r="CB455" s="1"/>
      <c r="CC455" s="1"/>
      <c r="CD455" s="3"/>
      <c r="CE455" s="3"/>
      <c r="CF455" s="1"/>
      <c r="CG455" s="1"/>
      <c r="CH455" s="3"/>
      <c r="CI455" s="3"/>
    </row>
    <row r="456" spans="16:87">
      <c r="P456" s="1"/>
      <c r="Q456" s="2"/>
      <c r="R456" s="2"/>
      <c r="S456" s="2"/>
      <c r="T456" s="2"/>
      <c r="U456" s="2"/>
      <c r="V456" s="1"/>
      <c r="W456" s="1"/>
      <c r="X456" s="1"/>
      <c r="Y456" s="1"/>
      <c r="Z456" s="1"/>
      <c r="AA456" s="1"/>
      <c r="AB456" s="1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1"/>
      <c r="BY456" s="1"/>
      <c r="BZ456" s="1"/>
      <c r="CA456" s="1"/>
      <c r="CB456" s="1"/>
      <c r="CC456" s="1"/>
      <c r="CD456" s="3"/>
      <c r="CE456" s="3"/>
      <c r="CF456" s="1"/>
      <c r="CG456" s="1"/>
      <c r="CH456" s="3"/>
      <c r="CI456" s="3"/>
    </row>
    <row r="457" spans="16:87">
      <c r="P457" s="1"/>
      <c r="Q457" s="2"/>
      <c r="R457" s="2"/>
      <c r="S457" s="2"/>
      <c r="T457" s="2"/>
      <c r="U457" s="2"/>
      <c r="V457" s="1"/>
      <c r="W457" s="1"/>
      <c r="X457" s="1"/>
      <c r="Y457" s="1"/>
      <c r="Z457" s="1"/>
      <c r="AA457" s="1"/>
      <c r="AB457" s="1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1"/>
      <c r="BY457" s="1"/>
      <c r="BZ457" s="1"/>
      <c r="CA457" s="1"/>
      <c r="CB457" s="1"/>
      <c r="CC457" s="1"/>
      <c r="CD457" s="3"/>
      <c r="CE457" s="3"/>
      <c r="CF457" s="1"/>
      <c r="CG457" s="1"/>
      <c r="CH457" s="3"/>
      <c r="CI457" s="3"/>
    </row>
    <row r="458" spans="16:87">
      <c r="P458" s="1"/>
      <c r="Q458" s="2"/>
      <c r="R458" s="2"/>
      <c r="S458" s="2"/>
      <c r="T458" s="2"/>
      <c r="U458" s="2"/>
      <c r="V458" s="1"/>
      <c r="W458" s="1"/>
      <c r="X458" s="1"/>
      <c r="Y458" s="1"/>
      <c r="Z458" s="1"/>
      <c r="AA458" s="1"/>
      <c r="AB458" s="1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1"/>
      <c r="BY458" s="1"/>
      <c r="BZ458" s="1"/>
      <c r="CA458" s="1"/>
      <c r="CB458" s="1"/>
      <c r="CC458" s="1"/>
      <c r="CD458" s="3"/>
      <c r="CE458" s="3"/>
      <c r="CF458" s="1"/>
      <c r="CG458" s="1"/>
      <c r="CH458" s="3"/>
      <c r="CI458" s="3"/>
    </row>
    <row r="459" spans="16:87">
      <c r="P459" s="1"/>
      <c r="Q459" s="2"/>
      <c r="R459" s="2"/>
      <c r="S459" s="2"/>
      <c r="T459" s="2"/>
      <c r="U459" s="2"/>
      <c r="V459" s="1"/>
      <c r="W459" s="1"/>
      <c r="X459" s="1"/>
      <c r="Y459" s="1"/>
      <c r="Z459" s="1"/>
      <c r="AA459" s="1"/>
      <c r="AB459" s="1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1"/>
      <c r="BY459" s="1"/>
      <c r="BZ459" s="1"/>
      <c r="CA459" s="1"/>
      <c r="CB459" s="1"/>
      <c r="CC459" s="1"/>
      <c r="CD459" s="3"/>
      <c r="CE459" s="3"/>
      <c r="CF459" s="1"/>
      <c r="CG459" s="1"/>
      <c r="CH459" s="3"/>
      <c r="CI459" s="3"/>
    </row>
    <row r="460" spans="16:87">
      <c r="P460" s="1"/>
      <c r="Q460" s="2"/>
      <c r="R460" s="2"/>
      <c r="S460" s="2"/>
      <c r="T460" s="2"/>
      <c r="U460" s="2"/>
      <c r="V460" s="1"/>
      <c r="W460" s="1"/>
      <c r="X460" s="1"/>
      <c r="Y460" s="1"/>
      <c r="Z460" s="1"/>
      <c r="AA460" s="1"/>
      <c r="AB460" s="1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1"/>
      <c r="BY460" s="1"/>
      <c r="BZ460" s="1"/>
      <c r="CA460" s="1"/>
      <c r="CB460" s="1"/>
      <c r="CC460" s="1"/>
      <c r="CD460" s="3"/>
      <c r="CE460" s="3"/>
      <c r="CF460" s="1"/>
      <c r="CG460" s="1"/>
      <c r="CH460" s="3"/>
      <c r="CI460" s="3"/>
    </row>
    <row r="461" spans="16:87">
      <c r="P461" s="1"/>
      <c r="Q461" s="2"/>
      <c r="R461" s="2"/>
      <c r="S461" s="2"/>
      <c r="T461" s="2"/>
      <c r="U461" s="2"/>
      <c r="V461" s="1"/>
      <c r="W461" s="1"/>
      <c r="X461" s="1"/>
      <c r="Y461" s="1"/>
      <c r="Z461" s="1"/>
      <c r="AA461" s="1"/>
      <c r="AB461" s="1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1"/>
      <c r="BY461" s="1"/>
      <c r="BZ461" s="1"/>
      <c r="CA461" s="1"/>
      <c r="CB461" s="1"/>
      <c r="CC461" s="1"/>
      <c r="CD461" s="3"/>
      <c r="CE461" s="3"/>
      <c r="CF461" s="1"/>
      <c r="CG461" s="1"/>
      <c r="CH461" s="3"/>
      <c r="CI461" s="3"/>
    </row>
    <row r="462" spans="16:87">
      <c r="P462" s="1"/>
      <c r="Q462" s="2"/>
      <c r="R462" s="2"/>
      <c r="S462" s="2"/>
      <c r="T462" s="2"/>
      <c r="U462" s="2"/>
      <c r="V462" s="1"/>
      <c r="W462" s="1"/>
      <c r="X462" s="1"/>
      <c r="Y462" s="1"/>
      <c r="Z462" s="1"/>
      <c r="AA462" s="1"/>
      <c r="AB462" s="1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1"/>
      <c r="BY462" s="1"/>
      <c r="BZ462" s="1"/>
      <c r="CA462" s="1"/>
      <c r="CB462" s="1"/>
      <c r="CC462" s="1"/>
      <c r="CD462" s="3"/>
      <c r="CE462" s="3"/>
      <c r="CF462" s="1"/>
      <c r="CG462" s="1"/>
      <c r="CH462" s="3"/>
      <c r="CI462" s="3"/>
    </row>
    <row r="463" spans="16:87">
      <c r="P463" s="1"/>
      <c r="Q463" s="2"/>
      <c r="R463" s="2"/>
      <c r="S463" s="2"/>
      <c r="T463" s="2"/>
      <c r="U463" s="2"/>
      <c r="V463" s="1"/>
      <c r="W463" s="1"/>
      <c r="X463" s="1"/>
      <c r="Y463" s="1"/>
      <c r="Z463" s="1"/>
      <c r="AA463" s="1"/>
      <c r="AB463" s="1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1"/>
      <c r="BY463" s="1"/>
      <c r="BZ463" s="1"/>
      <c r="CA463" s="1"/>
      <c r="CB463" s="1"/>
      <c r="CC463" s="1"/>
      <c r="CD463" s="3"/>
      <c r="CE463" s="3"/>
      <c r="CF463" s="1"/>
      <c r="CG463" s="1"/>
      <c r="CH463" s="3"/>
      <c r="CI463" s="3"/>
    </row>
    <row r="464" spans="16:87">
      <c r="P464" s="1"/>
      <c r="Q464" s="2"/>
      <c r="R464" s="2"/>
      <c r="S464" s="2"/>
      <c r="T464" s="2"/>
      <c r="U464" s="2"/>
      <c r="V464" s="1"/>
      <c r="W464" s="1"/>
      <c r="X464" s="1"/>
      <c r="Y464" s="1"/>
      <c r="Z464" s="1"/>
      <c r="AA464" s="1"/>
      <c r="AB464" s="1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1"/>
      <c r="BY464" s="1"/>
      <c r="BZ464" s="1"/>
      <c r="CA464" s="1"/>
      <c r="CB464" s="1"/>
      <c r="CC464" s="1"/>
      <c r="CD464" s="3"/>
      <c r="CE464" s="3"/>
      <c r="CF464" s="1"/>
      <c r="CG464" s="1"/>
      <c r="CH464" s="3"/>
      <c r="CI464" s="3"/>
    </row>
    <row r="465" spans="16:87">
      <c r="P465" s="1"/>
      <c r="Q465" s="2"/>
      <c r="R465" s="2"/>
      <c r="S465" s="2"/>
      <c r="T465" s="2"/>
      <c r="U465" s="2"/>
      <c r="V465" s="1"/>
      <c r="W465" s="1"/>
      <c r="X465" s="1"/>
      <c r="Y465" s="1"/>
      <c r="Z465" s="1"/>
      <c r="AA465" s="1"/>
      <c r="AB465" s="1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1"/>
      <c r="BY465" s="1"/>
      <c r="BZ465" s="1"/>
      <c r="CA465" s="1"/>
      <c r="CB465" s="1"/>
      <c r="CC465" s="1"/>
      <c r="CD465" s="3"/>
      <c r="CE465" s="3"/>
      <c r="CF465" s="1"/>
      <c r="CG465" s="1"/>
      <c r="CH465" s="3"/>
      <c r="CI465" s="3"/>
    </row>
    <row r="466" spans="16:87">
      <c r="P466" s="1"/>
      <c r="Q466" s="2"/>
      <c r="R466" s="2"/>
      <c r="S466" s="2"/>
      <c r="T466" s="2"/>
      <c r="U466" s="2"/>
      <c r="V466" s="1"/>
      <c r="W466" s="1"/>
      <c r="X466" s="1"/>
      <c r="Y466" s="1"/>
      <c r="Z466" s="1"/>
      <c r="AA466" s="1"/>
      <c r="AB466" s="1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1"/>
      <c r="BY466" s="1"/>
      <c r="BZ466" s="1"/>
      <c r="CA466" s="1"/>
      <c r="CB466" s="1"/>
      <c r="CC466" s="1"/>
      <c r="CD466" s="3"/>
      <c r="CE466" s="3"/>
      <c r="CF466" s="1"/>
      <c r="CG466" s="1"/>
      <c r="CH466" s="3"/>
      <c r="CI466" s="3"/>
    </row>
    <row r="467" spans="16:87">
      <c r="P467" s="1"/>
      <c r="Q467" s="2"/>
      <c r="R467" s="2"/>
      <c r="S467" s="2"/>
      <c r="T467" s="2"/>
      <c r="U467" s="2"/>
      <c r="V467" s="1"/>
      <c r="W467" s="1"/>
      <c r="X467" s="1"/>
      <c r="Y467" s="1"/>
      <c r="Z467" s="1"/>
      <c r="AA467" s="1"/>
      <c r="AB467" s="1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1"/>
      <c r="BY467" s="1"/>
      <c r="BZ467" s="1"/>
      <c r="CA467" s="1"/>
      <c r="CB467" s="1"/>
      <c r="CC467" s="1"/>
      <c r="CD467" s="3"/>
      <c r="CE467" s="3"/>
      <c r="CF467" s="1"/>
      <c r="CG467" s="1"/>
      <c r="CH467" s="3"/>
      <c r="CI467" s="3"/>
    </row>
    <row r="468" spans="16:87">
      <c r="P468" s="1"/>
      <c r="Q468" s="2"/>
      <c r="R468" s="2"/>
      <c r="S468" s="2"/>
      <c r="T468" s="2"/>
      <c r="U468" s="2"/>
      <c r="V468" s="1"/>
      <c r="W468" s="1"/>
      <c r="X468" s="1"/>
      <c r="Y468" s="1"/>
      <c r="Z468" s="1"/>
      <c r="AA468" s="1"/>
      <c r="AB468" s="1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1"/>
      <c r="BY468" s="1"/>
      <c r="BZ468" s="1"/>
      <c r="CA468" s="1"/>
      <c r="CB468" s="1"/>
      <c r="CC468" s="1"/>
      <c r="CD468" s="3"/>
      <c r="CE468" s="3"/>
      <c r="CF468" s="1"/>
      <c r="CG468" s="1"/>
      <c r="CH468" s="3"/>
      <c r="CI468" s="3"/>
    </row>
    <row r="469" spans="16:87">
      <c r="P469" s="1"/>
      <c r="Q469" s="2"/>
      <c r="R469" s="2"/>
      <c r="S469" s="2"/>
      <c r="T469" s="2"/>
      <c r="U469" s="2"/>
      <c r="V469" s="1"/>
      <c r="W469" s="1"/>
      <c r="X469" s="1"/>
      <c r="Y469" s="1"/>
      <c r="Z469" s="1"/>
      <c r="AA469" s="1"/>
      <c r="AB469" s="1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1"/>
      <c r="BY469" s="1"/>
      <c r="BZ469" s="1"/>
      <c r="CA469" s="1"/>
      <c r="CB469" s="1"/>
      <c r="CC469" s="1"/>
      <c r="CD469" s="3"/>
      <c r="CE469" s="3"/>
      <c r="CF469" s="1"/>
      <c r="CG469" s="1"/>
      <c r="CH469" s="3"/>
      <c r="CI469" s="3"/>
    </row>
    <row r="470" spans="16:87">
      <c r="P470" s="1"/>
      <c r="Q470" s="2"/>
      <c r="R470" s="2"/>
      <c r="S470" s="2"/>
      <c r="T470" s="2"/>
      <c r="U470" s="2"/>
      <c r="V470" s="1"/>
      <c r="W470" s="1"/>
      <c r="X470" s="1"/>
      <c r="Y470" s="1"/>
      <c r="Z470" s="1"/>
      <c r="AA470" s="1"/>
      <c r="AB470" s="1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1"/>
      <c r="BY470" s="1"/>
      <c r="BZ470" s="1"/>
      <c r="CA470" s="1"/>
      <c r="CB470" s="1"/>
      <c r="CC470" s="1"/>
      <c r="CD470" s="3"/>
      <c r="CE470" s="3"/>
      <c r="CF470" s="1"/>
      <c r="CG470" s="1"/>
      <c r="CH470" s="3"/>
      <c r="CI470" s="3"/>
    </row>
    <row r="471" spans="16:87">
      <c r="P471" s="1"/>
      <c r="Q471" s="2"/>
      <c r="R471" s="2"/>
      <c r="S471" s="2"/>
      <c r="T471" s="2"/>
      <c r="U471" s="2"/>
      <c r="V471" s="1"/>
      <c r="W471" s="1"/>
      <c r="X471" s="1"/>
      <c r="Y471" s="1"/>
      <c r="Z471" s="1"/>
      <c r="AA471" s="1"/>
      <c r="AB471" s="1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1"/>
      <c r="BY471" s="1"/>
      <c r="BZ471" s="1"/>
      <c r="CA471" s="1"/>
      <c r="CB471" s="1"/>
      <c r="CC471" s="1"/>
      <c r="CD471" s="3"/>
      <c r="CE471" s="3"/>
      <c r="CF471" s="1"/>
      <c r="CG471" s="1"/>
      <c r="CH471" s="3"/>
      <c r="CI471" s="3"/>
    </row>
    <row r="472" spans="16:87">
      <c r="P472" s="1"/>
      <c r="Q472" s="2"/>
      <c r="R472" s="2"/>
      <c r="S472" s="2"/>
      <c r="T472" s="2"/>
      <c r="U472" s="2"/>
      <c r="V472" s="1"/>
      <c r="W472" s="1"/>
      <c r="X472" s="1"/>
      <c r="Y472" s="1"/>
      <c r="Z472" s="1"/>
      <c r="AA472" s="1"/>
      <c r="AB472" s="1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1"/>
      <c r="BY472" s="1"/>
      <c r="BZ472" s="1"/>
      <c r="CA472" s="1"/>
      <c r="CB472" s="1"/>
      <c r="CC472" s="1"/>
      <c r="CD472" s="3"/>
      <c r="CE472" s="3"/>
      <c r="CF472" s="1"/>
      <c r="CG472" s="1"/>
      <c r="CH472" s="3"/>
      <c r="CI472" s="3"/>
    </row>
    <row r="473" spans="16:87">
      <c r="P473" s="1"/>
      <c r="Q473" s="2"/>
      <c r="R473" s="2"/>
      <c r="S473" s="2"/>
      <c r="T473" s="2"/>
      <c r="U473" s="2"/>
      <c r="V473" s="1"/>
      <c r="W473" s="1"/>
      <c r="X473" s="1"/>
      <c r="Y473" s="1"/>
      <c r="Z473" s="1"/>
      <c r="AA473" s="1"/>
      <c r="AB473" s="1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1"/>
      <c r="BY473" s="1"/>
      <c r="BZ473" s="1"/>
      <c r="CA473" s="1"/>
      <c r="CB473" s="1"/>
      <c r="CC473" s="1"/>
      <c r="CD473" s="3"/>
      <c r="CE473" s="3"/>
      <c r="CF473" s="1"/>
      <c r="CG473" s="1"/>
      <c r="CH473" s="3"/>
      <c r="CI473" s="3"/>
    </row>
    <row r="474" spans="16:87">
      <c r="P474" s="1"/>
      <c r="Q474" s="2"/>
      <c r="R474" s="2"/>
      <c r="S474" s="2"/>
      <c r="T474" s="2"/>
      <c r="U474" s="2"/>
      <c r="V474" s="1"/>
      <c r="W474" s="1"/>
      <c r="X474" s="1"/>
      <c r="Y474" s="1"/>
      <c r="Z474" s="1"/>
      <c r="AA474" s="1"/>
      <c r="AB474" s="1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1"/>
      <c r="BY474" s="1"/>
      <c r="BZ474" s="1"/>
      <c r="CA474" s="1"/>
      <c r="CB474" s="1"/>
      <c r="CC474" s="1"/>
      <c r="CD474" s="3"/>
      <c r="CE474" s="3"/>
      <c r="CF474" s="1"/>
      <c r="CG474" s="1"/>
      <c r="CH474" s="3"/>
      <c r="CI474" s="3"/>
    </row>
    <row r="475" spans="16:87">
      <c r="P475" s="1"/>
      <c r="Q475" s="2"/>
      <c r="R475" s="2"/>
      <c r="S475" s="2"/>
      <c r="T475" s="2"/>
      <c r="U475" s="2"/>
      <c r="V475" s="1"/>
      <c r="W475" s="1"/>
      <c r="X475" s="1"/>
      <c r="Y475" s="1"/>
      <c r="Z475" s="1"/>
      <c r="AA475" s="1"/>
      <c r="AB475" s="1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1"/>
      <c r="BY475" s="1"/>
      <c r="BZ475" s="1"/>
      <c r="CA475" s="1"/>
      <c r="CB475" s="1"/>
      <c r="CC475" s="1"/>
      <c r="CD475" s="3"/>
      <c r="CE475" s="3"/>
      <c r="CF475" s="1"/>
      <c r="CG475" s="1"/>
      <c r="CH475" s="3"/>
      <c r="CI475" s="3"/>
    </row>
    <row r="476" spans="16:87">
      <c r="P476" s="1"/>
      <c r="Q476" s="2"/>
      <c r="R476" s="2"/>
      <c r="S476" s="2"/>
      <c r="T476" s="2"/>
      <c r="U476" s="2"/>
      <c r="V476" s="1"/>
      <c r="W476" s="1"/>
      <c r="X476" s="1"/>
      <c r="Y476" s="1"/>
      <c r="Z476" s="1"/>
      <c r="AA476" s="1"/>
      <c r="AB476" s="1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1"/>
      <c r="BY476" s="1"/>
      <c r="BZ476" s="1"/>
      <c r="CA476" s="1"/>
      <c r="CB476" s="1"/>
      <c r="CC476" s="1"/>
      <c r="CD476" s="3"/>
      <c r="CE476" s="3"/>
      <c r="CF476" s="1"/>
      <c r="CG476" s="1"/>
      <c r="CH476" s="3"/>
      <c r="CI476" s="3"/>
    </row>
    <row r="477" spans="16:87">
      <c r="P477" s="1"/>
      <c r="Q477" s="2"/>
      <c r="R477" s="2"/>
      <c r="S477" s="2"/>
      <c r="T477" s="2"/>
      <c r="U477" s="2"/>
      <c r="V477" s="1"/>
      <c r="W477" s="1"/>
      <c r="X477" s="1"/>
      <c r="Y477" s="1"/>
      <c r="Z477" s="1"/>
      <c r="AA477" s="1"/>
      <c r="AB477" s="1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1"/>
      <c r="BY477" s="1"/>
      <c r="BZ477" s="1"/>
      <c r="CA477" s="1"/>
      <c r="CB477" s="1"/>
      <c r="CC477" s="1"/>
      <c r="CD477" s="3"/>
      <c r="CE477" s="3"/>
      <c r="CF477" s="1"/>
      <c r="CG477" s="1"/>
      <c r="CH477" s="3"/>
      <c r="CI477" s="3"/>
    </row>
    <row r="478" spans="16:87">
      <c r="P478" s="1"/>
      <c r="Q478" s="2"/>
      <c r="R478" s="2"/>
      <c r="S478" s="2"/>
      <c r="T478" s="2"/>
      <c r="U478" s="2"/>
      <c r="V478" s="1"/>
      <c r="W478" s="1"/>
      <c r="X478" s="1"/>
      <c r="Y478" s="1"/>
      <c r="Z478" s="1"/>
      <c r="AA478" s="1"/>
      <c r="AB478" s="1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1"/>
      <c r="BY478" s="1"/>
      <c r="BZ478" s="1"/>
      <c r="CA478" s="1"/>
      <c r="CB478" s="1"/>
      <c r="CC478" s="1"/>
      <c r="CD478" s="3"/>
      <c r="CE478" s="3"/>
      <c r="CF478" s="1"/>
      <c r="CG478" s="1"/>
      <c r="CH478" s="3"/>
      <c r="CI478" s="3"/>
    </row>
    <row r="479" spans="16:87">
      <c r="P479" s="1"/>
      <c r="Q479" s="2"/>
      <c r="R479" s="2"/>
      <c r="S479" s="2"/>
      <c r="T479" s="2"/>
      <c r="U479" s="2"/>
      <c r="V479" s="1"/>
      <c r="W479" s="1"/>
      <c r="X479" s="1"/>
      <c r="Y479" s="1"/>
      <c r="Z479" s="1"/>
      <c r="AA479" s="1"/>
      <c r="AB479" s="1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1"/>
      <c r="BY479" s="1"/>
      <c r="BZ479" s="1"/>
      <c r="CA479" s="1"/>
      <c r="CB479" s="1"/>
      <c r="CC479" s="1"/>
      <c r="CD479" s="3"/>
      <c r="CE479" s="3"/>
      <c r="CF479" s="1"/>
      <c r="CG479" s="1"/>
      <c r="CH479" s="3"/>
      <c r="CI479" s="3"/>
    </row>
    <row r="480" spans="16:87">
      <c r="P480" s="1"/>
      <c r="Q480" s="2"/>
      <c r="R480" s="2"/>
      <c r="S480" s="2"/>
      <c r="T480" s="2"/>
      <c r="U480" s="2"/>
      <c r="V480" s="1"/>
      <c r="W480" s="1"/>
      <c r="X480" s="1"/>
      <c r="Y480" s="1"/>
      <c r="Z480" s="1"/>
      <c r="AA480" s="1"/>
      <c r="AB480" s="1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1"/>
      <c r="BY480" s="1"/>
      <c r="BZ480" s="1"/>
      <c r="CA480" s="1"/>
      <c r="CB480" s="1"/>
      <c r="CC480" s="1"/>
      <c r="CD480" s="3"/>
      <c r="CE480" s="3"/>
      <c r="CF480" s="1"/>
      <c r="CG480" s="1"/>
      <c r="CH480" s="3"/>
      <c r="CI480" s="3"/>
    </row>
    <row r="481" spans="16:87">
      <c r="P481" s="1"/>
      <c r="Q481" s="2"/>
      <c r="R481" s="2"/>
      <c r="S481" s="2"/>
      <c r="T481" s="2"/>
      <c r="U481" s="2"/>
      <c r="V481" s="1"/>
      <c r="W481" s="1"/>
      <c r="X481" s="1"/>
      <c r="Y481" s="1"/>
      <c r="Z481" s="1"/>
      <c r="AA481" s="1"/>
      <c r="AB481" s="1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1"/>
      <c r="BY481" s="1"/>
      <c r="BZ481" s="1"/>
      <c r="CA481" s="1"/>
      <c r="CB481" s="1"/>
      <c r="CC481" s="1"/>
      <c r="CD481" s="3"/>
      <c r="CE481" s="3"/>
      <c r="CF481" s="1"/>
      <c r="CG481" s="1"/>
      <c r="CH481" s="3"/>
      <c r="CI481" s="3"/>
    </row>
    <row r="482" spans="16:87">
      <c r="P482" s="1"/>
      <c r="Q482" s="2"/>
      <c r="R482" s="2"/>
      <c r="S482" s="2"/>
      <c r="T482" s="2"/>
      <c r="U482" s="2"/>
      <c r="V482" s="1"/>
      <c r="W482" s="1"/>
      <c r="X482" s="1"/>
      <c r="Y482" s="1"/>
      <c r="Z482" s="1"/>
      <c r="AA482" s="1"/>
      <c r="AB482" s="1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1"/>
      <c r="BY482" s="1"/>
      <c r="BZ482" s="1"/>
      <c r="CA482" s="1"/>
      <c r="CB482" s="1"/>
      <c r="CC482" s="1"/>
      <c r="CD482" s="3"/>
      <c r="CE482" s="3"/>
      <c r="CF482" s="1"/>
      <c r="CG482" s="1"/>
      <c r="CH482" s="3"/>
      <c r="CI482" s="3"/>
    </row>
    <row r="483" spans="16:87">
      <c r="P483" s="1"/>
      <c r="Q483" s="2"/>
      <c r="R483" s="2"/>
      <c r="S483" s="2"/>
      <c r="T483" s="2"/>
      <c r="U483" s="2"/>
      <c r="V483" s="1"/>
      <c r="W483" s="1"/>
      <c r="X483" s="1"/>
      <c r="Y483" s="1"/>
      <c r="Z483" s="1"/>
      <c r="AA483" s="1"/>
      <c r="AB483" s="1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1"/>
      <c r="BY483" s="1"/>
      <c r="BZ483" s="1"/>
      <c r="CA483" s="1"/>
      <c r="CB483" s="1"/>
      <c r="CC483" s="1"/>
      <c r="CD483" s="3"/>
      <c r="CE483" s="3"/>
      <c r="CF483" s="1"/>
      <c r="CG483" s="1"/>
      <c r="CH483" s="3"/>
      <c r="CI483" s="3"/>
    </row>
    <row r="484" spans="16:87">
      <c r="P484" s="1"/>
      <c r="Q484" s="2"/>
      <c r="R484" s="2"/>
      <c r="S484" s="2"/>
      <c r="T484" s="2"/>
      <c r="U484" s="2"/>
      <c r="V484" s="1"/>
      <c r="W484" s="1"/>
      <c r="X484" s="1"/>
      <c r="Y484" s="1"/>
      <c r="Z484" s="1"/>
      <c r="AA484" s="1"/>
      <c r="AB484" s="1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1"/>
      <c r="BY484" s="1"/>
      <c r="BZ484" s="1"/>
      <c r="CA484" s="1"/>
      <c r="CB484" s="1"/>
      <c r="CC484" s="1"/>
      <c r="CD484" s="3"/>
      <c r="CE484" s="3"/>
      <c r="CF484" s="1"/>
      <c r="CG484" s="1"/>
      <c r="CH484" s="3"/>
      <c r="CI484" s="3"/>
    </row>
    <row r="485" spans="16:87">
      <c r="P485" s="1"/>
      <c r="Q485" s="2"/>
      <c r="R485" s="2"/>
      <c r="S485" s="2"/>
      <c r="T485" s="2"/>
      <c r="U485" s="2"/>
      <c r="V485" s="1"/>
      <c r="W485" s="1"/>
      <c r="X485" s="1"/>
      <c r="Y485" s="1"/>
      <c r="Z485" s="1"/>
      <c r="AA485" s="1"/>
      <c r="AB485" s="1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1"/>
      <c r="BY485" s="1"/>
      <c r="BZ485" s="1"/>
      <c r="CA485" s="1"/>
      <c r="CB485" s="1"/>
      <c r="CC485" s="1"/>
      <c r="CD485" s="3"/>
      <c r="CE485" s="3"/>
      <c r="CF485" s="1"/>
      <c r="CG485" s="1"/>
      <c r="CH485" s="3"/>
      <c r="CI485" s="3"/>
    </row>
    <row r="486" spans="16:87">
      <c r="P486" s="1"/>
      <c r="Q486" s="2"/>
      <c r="R486" s="2"/>
      <c r="S486" s="2"/>
      <c r="T486" s="2"/>
      <c r="U486" s="2"/>
      <c r="V486" s="1"/>
      <c r="W486" s="1"/>
      <c r="X486" s="1"/>
      <c r="Y486" s="1"/>
      <c r="Z486" s="1"/>
      <c r="AA486" s="1"/>
      <c r="AB486" s="1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1"/>
      <c r="BY486" s="1"/>
      <c r="BZ486" s="1"/>
      <c r="CA486" s="1"/>
      <c r="CB486" s="1"/>
      <c r="CC486" s="1"/>
      <c r="CD486" s="3"/>
      <c r="CE486" s="3"/>
      <c r="CF486" s="1"/>
      <c r="CG486" s="1"/>
      <c r="CH486" s="3"/>
      <c r="CI486" s="3"/>
    </row>
    <row r="487" spans="16:87">
      <c r="P487" s="1"/>
      <c r="Q487" s="2"/>
      <c r="R487" s="2"/>
      <c r="S487" s="2"/>
      <c r="T487" s="2"/>
      <c r="U487" s="2"/>
      <c r="V487" s="1"/>
      <c r="W487" s="1"/>
      <c r="X487" s="1"/>
      <c r="Y487" s="1"/>
      <c r="Z487" s="1"/>
      <c r="AA487" s="1"/>
      <c r="AB487" s="1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1"/>
      <c r="BY487" s="1"/>
      <c r="BZ487" s="1"/>
      <c r="CA487" s="1"/>
      <c r="CB487" s="1"/>
      <c r="CC487" s="1"/>
      <c r="CD487" s="3"/>
      <c r="CE487" s="3"/>
      <c r="CF487" s="1"/>
      <c r="CG487" s="1"/>
      <c r="CH487" s="3"/>
      <c r="CI487" s="3"/>
    </row>
    <row r="488" spans="16:87">
      <c r="P488" s="1"/>
      <c r="Q488" s="2"/>
      <c r="R488" s="2"/>
      <c r="S488" s="2"/>
      <c r="T488" s="2"/>
      <c r="U488" s="2"/>
      <c r="V488" s="1"/>
      <c r="W488" s="1"/>
      <c r="X488" s="1"/>
      <c r="Y488" s="1"/>
      <c r="Z488" s="1"/>
      <c r="AA488" s="1"/>
      <c r="AB488" s="1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1"/>
      <c r="BY488" s="1"/>
      <c r="BZ488" s="1"/>
      <c r="CA488" s="1"/>
      <c r="CB488" s="1"/>
      <c r="CC488" s="1"/>
      <c r="CD488" s="3"/>
      <c r="CE488" s="3"/>
      <c r="CF488" s="1"/>
      <c r="CG488" s="1"/>
      <c r="CH488" s="3"/>
      <c r="CI488" s="3"/>
    </row>
    <row r="489" spans="16:87">
      <c r="P489" s="1"/>
      <c r="Q489" s="2"/>
      <c r="R489" s="2"/>
      <c r="S489" s="2"/>
      <c r="T489" s="2"/>
      <c r="U489" s="2"/>
      <c r="V489" s="1"/>
      <c r="W489" s="1"/>
      <c r="X489" s="1"/>
      <c r="Y489" s="1"/>
      <c r="Z489" s="1"/>
      <c r="AA489" s="1"/>
      <c r="AB489" s="1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1"/>
      <c r="BY489" s="1"/>
      <c r="BZ489" s="1"/>
      <c r="CA489" s="1"/>
      <c r="CB489" s="1"/>
      <c r="CC489" s="1"/>
      <c r="CD489" s="3"/>
      <c r="CE489" s="3"/>
      <c r="CF489" s="1"/>
      <c r="CG489" s="1"/>
      <c r="CH489" s="3"/>
      <c r="CI489" s="3"/>
    </row>
    <row r="490" spans="16:87">
      <c r="P490" s="1"/>
      <c r="Q490" s="2"/>
      <c r="R490" s="2"/>
      <c r="S490" s="2"/>
      <c r="T490" s="2"/>
      <c r="U490" s="2"/>
      <c r="V490" s="1"/>
      <c r="W490" s="1"/>
      <c r="X490" s="1"/>
      <c r="Y490" s="1"/>
      <c r="Z490" s="1"/>
      <c r="AA490" s="1"/>
      <c r="AB490" s="1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1"/>
      <c r="BY490" s="1"/>
      <c r="BZ490" s="1"/>
      <c r="CA490" s="1"/>
      <c r="CB490" s="1"/>
      <c r="CC490" s="1"/>
      <c r="CD490" s="3"/>
      <c r="CE490" s="3"/>
      <c r="CF490" s="1"/>
      <c r="CG490" s="1"/>
      <c r="CH490" s="3"/>
      <c r="CI490" s="3"/>
    </row>
    <row r="491" spans="16:87">
      <c r="P491" s="1"/>
      <c r="Q491" s="2"/>
      <c r="R491" s="2"/>
      <c r="S491" s="2"/>
      <c r="T491" s="2"/>
      <c r="U491" s="2"/>
      <c r="V491" s="1"/>
      <c r="W491" s="1"/>
      <c r="X491" s="1"/>
      <c r="Y491" s="1"/>
      <c r="Z491" s="1"/>
      <c r="AA491" s="1"/>
      <c r="AB491" s="1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1"/>
      <c r="BY491" s="1"/>
      <c r="BZ491" s="1"/>
      <c r="CA491" s="1"/>
      <c r="CB491" s="1"/>
      <c r="CC491" s="1"/>
      <c r="CD491" s="3"/>
      <c r="CE491" s="3"/>
      <c r="CF491" s="1"/>
      <c r="CG491" s="1"/>
      <c r="CH491" s="3"/>
      <c r="CI491" s="3"/>
    </row>
    <row r="492" spans="16:87">
      <c r="P492" s="1"/>
      <c r="Q492" s="2"/>
      <c r="R492" s="2"/>
      <c r="S492" s="2"/>
      <c r="T492" s="2"/>
      <c r="U492" s="2"/>
      <c r="V492" s="1"/>
      <c r="W492" s="1"/>
      <c r="X492" s="1"/>
      <c r="Y492" s="1"/>
      <c r="Z492" s="1"/>
      <c r="AA492" s="1"/>
      <c r="AB492" s="1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1"/>
      <c r="BY492" s="1"/>
      <c r="BZ492" s="1"/>
      <c r="CA492" s="1"/>
      <c r="CB492" s="1"/>
      <c r="CC492" s="1"/>
      <c r="CD492" s="3"/>
      <c r="CE492" s="3"/>
      <c r="CF492" s="1"/>
      <c r="CG492" s="1"/>
      <c r="CH492" s="3"/>
      <c r="CI492" s="3"/>
    </row>
    <row r="493" spans="16:87">
      <c r="P493" s="1"/>
      <c r="Q493" s="2"/>
      <c r="R493" s="2"/>
      <c r="S493" s="2"/>
      <c r="T493" s="2"/>
      <c r="U493" s="2"/>
      <c r="V493" s="1"/>
      <c r="W493" s="1"/>
      <c r="X493" s="1"/>
      <c r="Y493" s="1"/>
      <c r="Z493" s="1"/>
      <c r="AA493" s="1"/>
      <c r="AB493" s="1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1"/>
      <c r="BY493" s="1"/>
      <c r="BZ493" s="1"/>
      <c r="CA493" s="1"/>
      <c r="CB493" s="1"/>
      <c r="CC493" s="1"/>
      <c r="CD493" s="3"/>
      <c r="CE493" s="3"/>
      <c r="CF493" s="1"/>
      <c r="CG493" s="1"/>
      <c r="CH493" s="3"/>
      <c r="CI493" s="3"/>
    </row>
    <row r="494" spans="16:87">
      <c r="P494" s="1"/>
      <c r="Q494" s="2"/>
      <c r="R494" s="2"/>
      <c r="S494" s="2"/>
      <c r="T494" s="2"/>
      <c r="U494" s="2"/>
      <c r="V494" s="1"/>
      <c r="W494" s="1"/>
      <c r="X494" s="1"/>
      <c r="Y494" s="1"/>
      <c r="Z494" s="1"/>
      <c r="AA494" s="1"/>
      <c r="AB494" s="1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1"/>
      <c r="BY494" s="1"/>
      <c r="BZ494" s="1"/>
      <c r="CA494" s="1"/>
      <c r="CB494" s="1"/>
      <c r="CC494" s="1"/>
      <c r="CD494" s="3"/>
      <c r="CE494" s="3"/>
      <c r="CF494" s="1"/>
      <c r="CG494" s="1"/>
      <c r="CH494" s="3"/>
      <c r="CI494" s="3"/>
    </row>
    <row r="495" spans="16:87">
      <c r="P495" s="1"/>
      <c r="Q495" s="2"/>
      <c r="R495" s="2"/>
      <c r="S495" s="2"/>
      <c r="T495" s="2"/>
      <c r="U495" s="2"/>
      <c r="V495" s="1"/>
      <c r="W495" s="1"/>
      <c r="X495" s="1"/>
      <c r="Y495" s="1"/>
      <c r="Z495" s="1"/>
      <c r="AA495" s="1"/>
      <c r="AB495" s="1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1"/>
      <c r="BY495" s="1"/>
      <c r="BZ495" s="1"/>
      <c r="CA495" s="1"/>
      <c r="CB495" s="1"/>
      <c r="CC495" s="1"/>
      <c r="CD495" s="3"/>
      <c r="CE495" s="3"/>
      <c r="CF495" s="1"/>
      <c r="CG495" s="1"/>
      <c r="CH495" s="3"/>
      <c r="CI495" s="3"/>
    </row>
    <row r="496" spans="16:87">
      <c r="P496" s="1"/>
      <c r="Q496" s="2"/>
      <c r="R496" s="2"/>
      <c r="S496" s="2"/>
      <c r="T496" s="2"/>
      <c r="U496" s="2"/>
      <c r="V496" s="1"/>
      <c r="W496" s="1"/>
      <c r="X496" s="1"/>
      <c r="Y496" s="1"/>
      <c r="Z496" s="1"/>
      <c r="AA496" s="1"/>
      <c r="AB496" s="1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1"/>
      <c r="BY496" s="1"/>
      <c r="BZ496" s="1"/>
      <c r="CA496" s="1"/>
      <c r="CB496" s="1"/>
      <c r="CC496" s="1"/>
      <c r="CD496" s="3"/>
      <c r="CE496" s="3"/>
      <c r="CF496" s="1"/>
      <c r="CG496" s="1"/>
      <c r="CH496" s="3"/>
      <c r="CI496" s="3"/>
    </row>
    <row r="497" spans="16:87">
      <c r="P497" s="1"/>
      <c r="Q497" s="2"/>
      <c r="R497" s="2"/>
      <c r="S497" s="2"/>
      <c r="T497" s="2"/>
      <c r="U497" s="2"/>
      <c r="V497" s="1"/>
      <c r="W497" s="1"/>
      <c r="X497" s="1"/>
      <c r="Y497" s="1"/>
      <c r="Z497" s="1"/>
      <c r="AA497" s="1"/>
      <c r="AB497" s="1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1"/>
      <c r="BY497" s="1"/>
      <c r="BZ497" s="1"/>
      <c r="CA497" s="1"/>
      <c r="CB497" s="1"/>
      <c r="CC497" s="1"/>
      <c r="CD497" s="3"/>
      <c r="CE497" s="3"/>
      <c r="CF497" s="1"/>
      <c r="CG497" s="1"/>
      <c r="CH497" s="3"/>
      <c r="CI497" s="3"/>
    </row>
    <row r="498" spans="16:87">
      <c r="P498" s="1"/>
      <c r="Q498" s="2"/>
      <c r="R498" s="2"/>
      <c r="S498" s="2"/>
      <c r="T498" s="2"/>
      <c r="U498" s="2"/>
      <c r="V498" s="1"/>
      <c r="W498" s="1"/>
      <c r="X498" s="1"/>
      <c r="Y498" s="1"/>
      <c r="Z498" s="1"/>
      <c r="AA498" s="1"/>
      <c r="AB498" s="1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1"/>
      <c r="BY498" s="1"/>
      <c r="BZ498" s="1"/>
      <c r="CA498" s="1"/>
      <c r="CB498" s="1"/>
      <c r="CC498" s="1"/>
      <c r="CD498" s="3"/>
      <c r="CE498" s="3"/>
      <c r="CF498" s="1"/>
      <c r="CG498" s="1"/>
      <c r="CH498" s="3"/>
      <c r="CI498" s="3"/>
    </row>
    <row r="499" spans="16:87">
      <c r="P499" s="1"/>
      <c r="Q499" s="2"/>
      <c r="R499" s="2"/>
      <c r="S499" s="2"/>
      <c r="T499" s="2"/>
      <c r="U499" s="2"/>
      <c r="V499" s="1"/>
      <c r="W499" s="1"/>
      <c r="X499" s="1"/>
      <c r="Y499" s="1"/>
      <c r="Z499" s="1"/>
      <c r="AA499" s="1"/>
      <c r="AB499" s="1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1"/>
      <c r="BY499" s="1"/>
      <c r="BZ499" s="1"/>
      <c r="CA499" s="1"/>
      <c r="CB499" s="1"/>
      <c r="CC499" s="1"/>
      <c r="CD499" s="3"/>
      <c r="CE499" s="3"/>
      <c r="CF499" s="1"/>
      <c r="CG499" s="1"/>
      <c r="CH499" s="3"/>
      <c r="CI499" s="3"/>
    </row>
    <row r="500" spans="16:87">
      <c r="P500" s="1"/>
      <c r="Q500" s="2"/>
      <c r="R500" s="2"/>
      <c r="S500" s="2"/>
      <c r="T500" s="2"/>
      <c r="U500" s="2"/>
      <c r="V500" s="1"/>
      <c r="W500" s="1"/>
      <c r="X500" s="1"/>
      <c r="Y500" s="1"/>
      <c r="Z500" s="1"/>
      <c r="AA500" s="1"/>
      <c r="AB500" s="1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1"/>
      <c r="BY500" s="1"/>
      <c r="BZ500" s="1"/>
      <c r="CA500" s="1"/>
      <c r="CB500" s="1"/>
      <c r="CC500" s="1"/>
      <c r="CD500" s="3"/>
      <c r="CE500" s="3"/>
      <c r="CF500" s="1"/>
      <c r="CG500" s="1"/>
      <c r="CH500" s="3"/>
      <c r="CI500" s="3"/>
    </row>
    <row r="501" spans="16:87">
      <c r="P501" s="1"/>
      <c r="Q501" s="2"/>
      <c r="R501" s="2"/>
      <c r="S501" s="2"/>
      <c r="T501" s="2"/>
      <c r="U501" s="2"/>
      <c r="V501" s="1"/>
      <c r="W501" s="1"/>
      <c r="X501" s="1"/>
      <c r="Y501" s="1"/>
      <c r="Z501" s="1"/>
      <c r="AA501" s="1"/>
      <c r="AB501" s="1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1"/>
      <c r="BY501" s="1"/>
      <c r="BZ501" s="1"/>
      <c r="CA501" s="1"/>
      <c r="CB501" s="1"/>
      <c r="CC501" s="1"/>
      <c r="CD501" s="3"/>
      <c r="CE501" s="3"/>
      <c r="CF501" s="1"/>
      <c r="CG501" s="1"/>
      <c r="CH501" s="3"/>
      <c r="CI501" s="3"/>
    </row>
    <row r="502" spans="16:87">
      <c r="P502" s="1"/>
      <c r="Q502" s="2"/>
      <c r="R502" s="2"/>
      <c r="S502" s="2"/>
      <c r="T502" s="2"/>
      <c r="U502" s="2"/>
      <c r="V502" s="1"/>
      <c r="W502" s="1"/>
      <c r="X502" s="1"/>
      <c r="Y502" s="1"/>
      <c r="Z502" s="1"/>
      <c r="AA502" s="1"/>
      <c r="AB502" s="1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1"/>
      <c r="BY502" s="1"/>
      <c r="BZ502" s="1"/>
      <c r="CA502" s="1"/>
      <c r="CB502" s="1"/>
      <c r="CC502" s="1"/>
      <c r="CD502" s="3"/>
      <c r="CE502" s="3"/>
      <c r="CF502" s="1"/>
      <c r="CG502" s="1"/>
      <c r="CH502" s="3"/>
      <c r="CI502" s="3"/>
    </row>
    <row r="503" spans="16:87">
      <c r="P503" s="1"/>
      <c r="Q503" s="2"/>
      <c r="R503" s="2"/>
      <c r="S503" s="2"/>
      <c r="T503" s="2"/>
      <c r="U503" s="2"/>
      <c r="V503" s="1"/>
      <c r="W503" s="1"/>
      <c r="X503" s="1"/>
      <c r="Y503" s="1"/>
      <c r="Z503" s="1"/>
      <c r="AA503" s="1"/>
      <c r="AB503" s="1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1"/>
      <c r="BY503" s="1"/>
      <c r="BZ503" s="1"/>
      <c r="CA503" s="1"/>
      <c r="CB503" s="1"/>
      <c r="CC503" s="1"/>
      <c r="CD503" s="3"/>
      <c r="CE503" s="3"/>
      <c r="CF503" s="1"/>
      <c r="CG503" s="1"/>
      <c r="CH503" s="3"/>
      <c r="CI503" s="3"/>
    </row>
    <row r="504" spans="16:87">
      <c r="P504" s="1"/>
      <c r="Q504" s="2"/>
      <c r="R504" s="2"/>
      <c r="S504" s="2"/>
      <c r="T504" s="2"/>
      <c r="U504" s="2"/>
      <c r="V504" s="1"/>
      <c r="W504" s="1"/>
      <c r="X504" s="1"/>
      <c r="Y504" s="1"/>
      <c r="Z504" s="1"/>
      <c r="AA504" s="1"/>
      <c r="AB504" s="1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1"/>
      <c r="BY504" s="1"/>
      <c r="BZ504" s="1"/>
      <c r="CA504" s="1"/>
      <c r="CB504" s="1"/>
      <c r="CC504" s="1"/>
      <c r="CD504" s="3"/>
      <c r="CE504" s="3"/>
      <c r="CF504" s="1"/>
      <c r="CG504" s="1"/>
      <c r="CH504" s="3"/>
      <c r="CI504" s="3"/>
    </row>
    <row r="505" spans="16:87">
      <c r="P505" s="1"/>
      <c r="Q505" s="2"/>
      <c r="R505" s="2"/>
      <c r="S505" s="2"/>
      <c r="T505" s="2"/>
      <c r="U505" s="2"/>
      <c r="V505" s="1"/>
      <c r="W505" s="1"/>
      <c r="X505" s="1"/>
      <c r="Y505" s="1"/>
      <c r="Z505" s="1"/>
      <c r="AA505" s="1"/>
      <c r="AB505" s="1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1"/>
      <c r="BY505" s="1"/>
      <c r="BZ505" s="1"/>
      <c r="CA505" s="1"/>
      <c r="CB505" s="1"/>
      <c r="CC505" s="1"/>
      <c r="CD505" s="3"/>
      <c r="CE505" s="3"/>
      <c r="CF505" s="1"/>
      <c r="CG505" s="1"/>
      <c r="CH505" s="3"/>
      <c r="CI505" s="3"/>
    </row>
    <row r="506" spans="16:87">
      <c r="P506" s="1"/>
      <c r="Q506" s="2"/>
      <c r="R506" s="2"/>
      <c r="S506" s="2"/>
      <c r="T506" s="2"/>
      <c r="U506" s="2"/>
      <c r="V506" s="1"/>
      <c r="W506" s="1"/>
      <c r="X506" s="1"/>
      <c r="Y506" s="1"/>
      <c r="Z506" s="1"/>
      <c r="AA506" s="1"/>
      <c r="AB506" s="1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1"/>
      <c r="BY506" s="1"/>
      <c r="BZ506" s="1"/>
      <c r="CA506" s="1"/>
      <c r="CB506" s="1"/>
      <c r="CC506" s="1"/>
      <c r="CD506" s="3"/>
      <c r="CE506" s="3"/>
      <c r="CF506" s="1"/>
      <c r="CG506" s="1"/>
      <c r="CH506" s="3"/>
      <c r="CI506" s="3"/>
    </row>
    <row r="507" spans="16:87">
      <c r="P507" s="1"/>
      <c r="Q507" s="2"/>
      <c r="R507" s="2"/>
      <c r="S507" s="2"/>
      <c r="T507" s="2"/>
      <c r="U507" s="2"/>
      <c r="V507" s="1"/>
      <c r="W507" s="1"/>
      <c r="X507" s="1"/>
      <c r="Y507" s="1"/>
      <c r="Z507" s="1"/>
      <c r="AA507" s="1"/>
      <c r="AB507" s="1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1"/>
      <c r="BY507" s="1"/>
      <c r="BZ507" s="1"/>
      <c r="CA507" s="1"/>
      <c r="CB507" s="1"/>
      <c r="CC507" s="1"/>
      <c r="CD507" s="3"/>
      <c r="CE507" s="3"/>
      <c r="CF507" s="1"/>
      <c r="CG507" s="1"/>
      <c r="CH507" s="3"/>
      <c r="CI507" s="3"/>
    </row>
    <row r="508" spans="16:87">
      <c r="P508" s="1"/>
      <c r="Q508" s="2"/>
      <c r="R508" s="2"/>
      <c r="S508" s="2"/>
      <c r="T508" s="2"/>
      <c r="U508" s="2"/>
      <c r="V508" s="1"/>
      <c r="W508" s="1"/>
      <c r="X508" s="1"/>
      <c r="Y508" s="1"/>
      <c r="Z508" s="1"/>
      <c r="AA508" s="1"/>
      <c r="AB508" s="1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1"/>
      <c r="BY508" s="1"/>
      <c r="BZ508" s="1"/>
      <c r="CA508" s="1"/>
      <c r="CB508" s="1"/>
      <c r="CC508" s="1"/>
      <c r="CD508" s="3"/>
      <c r="CE508" s="3"/>
      <c r="CF508" s="1"/>
      <c r="CG508" s="1"/>
      <c r="CH508" s="3"/>
      <c r="CI508" s="3"/>
    </row>
    <row r="509" spans="16:87">
      <c r="P509" s="1"/>
      <c r="Q509" s="2"/>
      <c r="R509" s="2"/>
      <c r="S509" s="2"/>
      <c r="T509" s="2"/>
      <c r="U509" s="2"/>
      <c r="V509" s="1"/>
      <c r="W509" s="1"/>
      <c r="X509" s="1"/>
      <c r="Y509" s="1"/>
      <c r="Z509" s="1"/>
      <c r="AA509" s="1"/>
      <c r="AB509" s="1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1"/>
      <c r="BY509" s="1"/>
      <c r="BZ509" s="1"/>
      <c r="CA509" s="1"/>
      <c r="CB509" s="1"/>
      <c r="CC509" s="1"/>
      <c r="CD509" s="3"/>
      <c r="CE509" s="3"/>
      <c r="CF509" s="1"/>
      <c r="CG509" s="1"/>
      <c r="CH509" s="3"/>
      <c r="CI509" s="3"/>
    </row>
    <row r="510" spans="16:87">
      <c r="P510" s="1"/>
      <c r="Q510" s="2"/>
      <c r="R510" s="2"/>
      <c r="S510" s="2"/>
      <c r="T510" s="2"/>
      <c r="U510" s="2"/>
      <c r="V510" s="1"/>
      <c r="W510" s="1"/>
      <c r="X510" s="1"/>
      <c r="Y510" s="1"/>
      <c r="Z510" s="1"/>
      <c r="AA510" s="1"/>
      <c r="AB510" s="1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1"/>
      <c r="BY510" s="1"/>
      <c r="BZ510" s="1"/>
      <c r="CA510" s="1"/>
      <c r="CB510" s="1"/>
      <c r="CC510" s="1"/>
      <c r="CD510" s="3"/>
      <c r="CE510" s="3"/>
      <c r="CF510" s="1"/>
      <c r="CG510" s="1"/>
      <c r="CH510" s="3"/>
      <c r="CI510" s="3"/>
    </row>
    <row r="511" spans="16:87">
      <c r="P511" s="1"/>
      <c r="Q511" s="2"/>
      <c r="R511" s="2"/>
      <c r="S511" s="2"/>
      <c r="T511" s="2"/>
      <c r="U511" s="2"/>
      <c r="V511" s="1"/>
      <c r="W511" s="1"/>
      <c r="X511" s="1"/>
      <c r="Y511" s="1"/>
      <c r="Z511" s="1"/>
      <c r="AA511" s="1"/>
      <c r="AB511" s="1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1"/>
      <c r="BY511" s="1"/>
      <c r="BZ511" s="1"/>
      <c r="CA511" s="1"/>
      <c r="CB511" s="1"/>
      <c r="CC511" s="1"/>
      <c r="CD511" s="3"/>
      <c r="CE511" s="3"/>
      <c r="CF511" s="1"/>
      <c r="CG511" s="1"/>
      <c r="CH511" s="3"/>
      <c r="CI511" s="3"/>
    </row>
    <row r="512" spans="16:87">
      <c r="P512" s="1"/>
      <c r="Q512" s="2"/>
      <c r="R512" s="2"/>
      <c r="S512" s="2"/>
      <c r="T512" s="2"/>
      <c r="U512" s="2"/>
      <c r="V512" s="1"/>
      <c r="W512" s="1"/>
      <c r="X512" s="1"/>
      <c r="Y512" s="1"/>
      <c r="Z512" s="1"/>
      <c r="AA512" s="1"/>
      <c r="AB512" s="1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1"/>
      <c r="BY512" s="1"/>
      <c r="BZ512" s="1"/>
      <c r="CA512" s="1"/>
      <c r="CB512" s="1"/>
      <c r="CC512" s="1"/>
      <c r="CD512" s="3"/>
      <c r="CE512" s="3"/>
      <c r="CF512" s="1"/>
      <c r="CG512" s="1"/>
      <c r="CH512" s="3"/>
      <c r="CI512" s="3"/>
    </row>
    <row r="513" spans="16:87">
      <c r="P513" s="1"/>
      <c r="Q513" s="2"/>
      <c r="R513" s="2"/>
      <c r="S513" s="2"/>
      <c r="T513" s="2"/>
      <c r="U513" s="2"/>
      <c r="V513" s="1"/>
      <c r="W513" s="1"/>
      <c r="X513" s="1"/>
      <c r="Y513" s="1"/>
      <c r="Z513" s="1"/>
      <c r="AA513" s="1"/>
      <c r="AB513" s="1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1"/>
      <c r="BY513" s="1"/>
      <c r="BZ513" s="1"/>
      <c r="CA513" s="1"/>
      <c r="CB513" s="1"/>
      <c r="CC513" s="1"/>
      <c r="CD513" s="3"/>
      <c r="CE513" s="3"/>
      <c r="CF513" s="1"/>
      <c r="CG513" s="1"/>
      <c r="CH513" s="3"/>
      <c r="CI513" s="3"/>
    </row>
    <row r="514" spans="16:87">
      <c r="P514" s="1"/>
      <c r="Q514" s="2"/>
      <c r="R514" s="2"/>
      <c r="S514" s="2"/>
      <c r="T514" s="2"/>
      <c r="U514" s="2"/>
      <c r="V514" s="1"/>
      <c r="W514" s="1"/>
      <c r="X514" s="1"/>
      <c r="Y514" s="1"/>
      <c r="Z514" s="1"/>
      <c r="AA514" s="1"/>
      <c r="AB514" s="1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1"/>
      <c r="BY514" s="1"/>
      <c r="BZ514" s="1"/>
      <c r="CA514" s="1"/>
      <c r="CB514" s="1"/>
      <c r="CC514" s="1"/>
      <c r="CD514" s="3"/>
      <c r="CE514" s="3"/>
      <c r="CF514" s="1"/>
      <c r="CG514" s="1"/>
      <c r="CH514" s="3"/>
      <c r="CI514" s="3"/>
    </row>
    <row r="515" spans="16:87">
      <c r="P515" s="1"/>
      <c r="Q515" s="2"/>
      <c r="R515" s="2"/>
      <c r="S515" s="2"/>
      <c r="T515" s="2"/>
      <c r="U515" s="2"/>
      <c r="V515" s="1"/>
      <c r="W515" s="1"/>
      <c r="X515" s="1"/>
      <c r="Y515" s="1"/>
      <c r="Z515" s="1"/>
      <c r="AA515" s="1"/>
      <c r="AB515" s="1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1"/>
      <c r="BY515" s="1"/>
      <c r="BZ515" s="1"/>
      <c r="CA515" s="1"/>
      <c r="CB515" s="1"/>
      <c r="CC515" s="1"/>
      <c r="CD515" s="3"/>
      <c r="CE515" s="3"/>
      <c r="CF515" s="1"/>
      <c r="CG515" s="1"/>
      <c r="CH515" s="3"/>
      <c r="CI515" s="3"/>
    </row>
    <row r="516" spans="16:87">
      <c r="P516" s="1"/>
      <c r="Q516" s="2"/>
      <c r="R516" s="2"/>
      <c r="S516" s="2"/>
      <c r="T516" s="2"/>
      <c r="U516" s="2"/>
      <c r="V516" s="1"/>
      <c r="W516" s="1"/>
      <c r="X516" s="1"/>
      <c r="Y516" s="1"/>
      <c r="Z516" s="1"/>
      <c r="AA516" s="1"/>
      <c r="AB516" s="1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1"/>
      <c r="BY516" s="1"/>
      <c r="BZ516" s="1"/>
      <c r="CA516" s="1"/>
      <c r="CB516" s="1"/>
      <c r="CC516" s="1"/>
      <c r="CD516" s="3"/>
      <c r="CE516" s="3"/>
      <c r="CF516" s="1"/>
      <c r="CG516" s="1"/>
      <c r="CH516" s="3"/>
      <c r="CI516" s="3"/>
    </row>
    <row r="517" spans="16:87">
      <c r="P517" s="1"/>
      <c r="Q517" s="2"/>
      <c r="R517" s="2"/>
      <c r="S517" s="2"/>
      <c r="T517" s="2"/>
      <c r="U517" s="2"/>
      <c r="V517" s="1"/>
      <c r="W517" s="1"/>
      <c r="X517" s="1"/>
      <c r="Y517" s="1"/>
      <c r="Z517" s="1"/>
      <c r="AA517" s="1"/>
      <c r="AB517" s="1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1"/>
      <c r="BY517" s="1"/>
      <c r="BZ517" s="1"/>
      <c r="CA517" s="1"/>
      <c r="CB517" s="1"/>
      <c r="CC517" s="1"/>
      <c r="CD517" s="3"/>
      <c r="CE517" s="3"/>
      <c r="CF517" s="1"/>
      <c r="CG517" s="1"/>
      <c r="CH517" s="3"/>
      <c r="CI517" s="3"/>
    </row>
    <row r="518" spans="16:87">
      <c r="P518" s="1"/>
      <c r="Q518" s="2"/>
      <c r="R518" s="2"/>
      <c r="S518" s="2"/>
      <c r="T518" s="2"/>
      <c r="U518" s="2"/>
      <c r="V518" s="1"/>
      <c r="W518" s="1"/>
      <c r="X518" s="1"/>
      <c r="Y518" s="1"/>
      <c r="Z518" s="1"/>
      <c r="AA518" s="1"/>
      <c r="AB518" s="1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1"/>
      <c r="BY518" s="1"/>
      <c r="BZ518" s="1"/>
      <c r="CA518" s="1"/>
      <c r="CB518" s="1"/>
      <c r="CC518" s="1"/>
      <c r="CD518" s="3"/>
      <c r="CE518" s="3"/>
      <c r="CF518" s="1"/>
      <c r="CG518" s="1"/>
      <c r="CH518" s="3"/>
      <c r="CI518" s="3"/>
    </row>
    <row r="519" spans="16:87">
      <c r="P519" s="1"/>
      <c r="Q519" s="2"/>
      <c r="R519" s="2"/>
      <c r="S519" s="2"/>
      <c r="T519" s="2"/>
      <c r="U519" s="2"/>
      <c r="V519" s="1"/>
      <c r="W519" s="1"/>
      <c r="X519" s="1"/>
      <c r="Y519" s="1"/>
      <c r="Z519" s="1"/>
      <c r="AA519" s="1"/>
      <c r="AB519" s="1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1"/>
      <c r="BY519" s="1"/>
      <c r="BZ519" s="1"/>
      <c r="CA519" s="1"/>
      <c r="CB519" s="1"/>
      <c r="CC519" s="1"/>
      <c r="CD519" s="3"/>
      <c r="CE519" s="3"/>
      <c r="CF519" s="1"/>
      <c r="CG519" s="1"/>
      <c r="CH519" s="3"/>
      <c r="CI519" s="3"/>
    </row>
    <row r="520" spans="16:87">
      <c r="P520" s="1"/>
      <c r="Q520" s="2"/>
      <c r="R520" s="2"/>
      <c r="S520" s="2"/>
      <c r="T520" s="2"/>
      <c r="U520" s="2"/>
      <c r="V520" s="1"/>
      <c r="W520" s="1"/>
      <c r="X520" s="1"/>
      <c r="Y520" s="1"/>
      <c r="Z520" s="1"/>
      <c r="AA520" s="1"/>
      <c r="AB520" s="1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1"/>
      <c r="BY520" s="1"/>
      <c r="BZ520" s="1"/>
      <c r="CA520" s="1"/>
      <c r="CB520" s="1"/>
      <c r="CC520" s="1"/>
      <c r="CD520" s="3"/>
      <c r="CE520" s="3"/>
      <c r="CF520" s="1"/>
      <c r="CG520" s="1"/>
      <c r="CH520" s="3"/>
      <c r="CI520" s="3"/>
    </row>
    <row r="521" spans="16:87">
      <c r="P521" s="1"/>
      <c r="Q521" s="2"/>
      <c r="R521" s="2"/>
      <c r="S521" s="2"/>
      <c r="T521" s="2"/>
      <c r="U521" s="2"/>
      <c r="V521" s="1"/>
      <c r="W521" s="1"/>
      <c r="X521" s="1"/>
      <c r="Y521" s="1"/>
      <c r="Z521" s="1"/>
      <c r="AA521" s="1"/>
      <c r="AB521" s="1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1"/>
      <c r="BY521" s="1"/>
      <c r="BZ521" s="1"/>
      <c r="CA521" s="1"/>
      <c r="CB521" s="1"/>
      <c r="CC521" s="1"/>
      <c r="CD521" s="3"/>
      <c r="CE521" s="3"/>
      <c r="CF521" s="1"/>
      <c r="CG521" s="1"/>
      <c r="CH521" s="3"/>
      <c r="CI521" s="3"/>
    </row>
    <row r="522" spans="16:87">
      <c r="P522" s="1"/>
      <c r="Q522" s="2"/>
      <c r="R522" s="2"/>
      <c r="S522" s="2"/>
      <c r="T522" s="2"/>
      <c r="U522" s="2"/>
      <c r="V522" s="1"/>
      <c r="W522" s="1"/>
      <c r="X522" s="1"/>
      <c r="Y522" s="1"/>
      <c r="Z522" s="1"/>
      <c r="AA522" s="1"/>
      <c r="AB522" s="1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1"/>
      <c r="BY522" s="1"/>
      <c r="BZ522" s="1"/>
      <c r="CA522" s="1"/>
      <c r="CB522" s="1"/>
      <c r="CC522" s="1"/>
      <c r="CD522" s="3"/>
      <c r="CE522" s="3"/>
      <c r="CF522" s="1"/>
      <c r="CG522" s="1"/>
      <c r="CH522" s="3"/>
      <c r="CI522" s="3"/>
    </row>
    <row r="523" spans="16:87">
      <c r="P523" s="1"/>
      <c r="Q523" s="2"/>
      <c r="R523" s="2"/>
      <c r="S523" s="2"/>
      <c r="T523" s="2"/>
      <c r="U523" s="2"/>
      <c r="V523" s="1"/>
      <c r="W523" s="1"/>
      <c r="X523" s="1"/>
      <c r="Y523" s="1"/>
      <c r="Z523" s="1"/>
      <c r="AA523" s="1"/>
      <c r="AB523" s="1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1"/>
      <c r="BY523" s="1"/>
      <c r="BZ523" s="1"/>
      <c r="CA523" s="1"/>
      <c r="CB523" s="1"/>
      <c r="CC523" s="1"/>
      <c r="CD523" s="3"/>
      <c r="CE523" s="3"/>
      <c r="CF523" s="1"/>
      <c r="CG523" s="1"/>
      <c r="CH523" s="3"/>
      <c r="CI523" s="3"/>
    </row>
    <row r="524" spans="16:87">
      <c r="P524" s="1"/>
      <c r="Q524" s="2"/>
      <c r="R524" s="2"/>
      <c r="S524" s="2"/>
      <c r="T524" s="2"/>
      <c r="U524" s="2"/>
      <c r="V524" s="1"/>
      <c r="W524" s="1"/>
      <c r="X524" s="1"/>
      <c r="Y524" s="1"/>
      <c r="Z524" s="1"/>
      <c r="AA524" s="1"/>
      <c r="AB524" s="1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1"/>
      <c r="BY524" s="1"/>
      <c r="BZ524" s="1"/>
      <c r="CA524" s="1"/>
      <c r="CB524" s="1"/>
      <c r="CC524" s="1"/>
      <c r="CD524" s="3"/>
      <c r="CE524" s="3"/>
      <c r="CF524" s="1"/>
      <c r="CG524" s="1"/>
      <c r="CH524" s="3"/>
      <c r="CI524" s="3"/>
    </row>
    <row r="525" spans="16:87">
      <c r="P525" s="1"/>
      <c r="Q525" s="2"/>
      <c r="R525" s="2"/>
      <c r="S525" s="2"/>
      <c r="T525" s="2"/>
      <c r="U525" s="2"/>
      <c r="V525" s="1"/>
      <c r="W525" s="1"/>
      <c r="X525" s="1"/>
      <c r="Y525" s="1"/>
      <c r="Z525" s="1"/>
      <c r="AA525" s="1"/>
      <c r="AB525" s="1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1"/>
      <c r="BY525" s="1"/>
      <c r="BZ525" s="1"/>
      <c r="CA525" s="1"/>
      <c r="CB525" s="1"/>
      <c r="CC525" s="1"/>
      <c r="CD525" s="3"/>
      <c r="CE525" s="3"/>
      <c r="CF525" s="1"/>
      <c r="CG525" s="1"/>
      <c r="CH525" s="3"/>
      <c r="CI525" s="3"/>
    </row>
    <row r="526" spans="16:87">
      <c r="P526" s="1"/>
      <c r="Q526" s="2"/>
      <c r="R526" s="2"/>
      <c r="S526" s="2"/>
      <c r="T526" s="2"/>
      <c r="U526" s="2"/>
      <c r="V526" s="1"/>
      <c r="W526" s="1"/>
      <c r="X526" s="1"/>
      <c r="Y526" s="1"/>
      <c r="Z526" s="1"/>
      <c r="AA526" s="1"/>
      <c r="AB526" s="1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1"/>
      <c r="BY526" s="1"/>
      <c r="BZ526" s="1"/>
      <c r="CA526" s="1"/>
      <c r="CB526" s="1"/>
      <c r="CC526" s="1"/>
      <c r="CD526" s="3"/>
      <c r="CE526" s="3"/>
      <c r="CF526" s="1"/>
      <c r="CG526" s="1"/>
      <c r="CH526" s="3"/>
      <c r="CI526" s="3"/>
    </row>
    <row r="527" spans="16:87">
      <c r="P527" s="1"/>
      <c r="Q527" s="2"/>
      <c r="R527" s="2"/>
      <c r="S527" s="2"/>
      <c r="T527" s="2"/>
      <c r="U527" s="2"/>
      <c r="V527" s="1"/>
      <c r="W527" s="1"/>
      <c r="X527" s="1"/>
      <c r="Y527" s="1"/>
      <c r="Z527" s="1"/>
      <c r="AA527" s="1"/>
      <c r="AB527" s="1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1"/>
      <c r="BY527" s="1"/>
      <c r="BZ527" s="1"/>
      <c r="CA527" s="1"/>
      <c r="CB527" s="1"/>
      <c r="CC527" s="1"/>
      <c r="CD527" s="3"/>
      <c r="CE527" s="3"/>
      <c r="CF527" s="1"/>
      <c r="CG527" s="1"/>
      <c r="CH527" s="3"/>
      <c r="CI527" s="3"/>
    </row>
    <row r="528" spans="16:87">
      <c r="P528" s="1"/>
      <c r="Q528" s="2"/>
      <c r="R528" s="2"/>
      <c r="S528" s="2"/>
      <c r="T528" s="2"/>
      <c r="U528" s="2"/>
      <c r="V528" s="1"/>
      <c r="W528" s="1"/>
      <c r="X528" s="1"/>
      <c r="Y528" s="1"/>
      <c r="Z528" s="1"/>
      <c r="AA528" s="1"/>
      <c r="AB528" s="1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1"/>
      <c r="BY528" s="1"/>
      <c r="BZ528" s="1"/>
      <c r="CA528" s="1"/>
      <c r="CB528" s="1"/>
      <c r="CC528" s="1"/>
      <c r="CD528" s="3"/>
      <c r="CE528" s="3"/>
      <c r="CF528" s="1"/>
      <c r="CG528" s="1"/>
      <c r="CH528" s="3"/>
      <c r="CI528" s="3"/>
    </row>
    <row r="529" spans="16:87">
      <c r="P529" s="1"/>
      <c r="Q529" s="2"/>
      <c r="R529" s="2"/>
      <c r="S529" s="2"/>
      <c r="T529" s="2"/>
      <c r="U529" s="2"/>
      <c r="V529" s="1"/>
      <c r="W529" s="1"/>
      <c r="X529" s="1"/>
      <c r="Y529" s="1"/>
      <c r="Z529" s="1"/>
      <c r="AA529" s="1"/>
      <c r="AB529" s="1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1"/>
      <c r="BY529" s="1"/>
      <c r="BZ529" s="1"/>
      <c r="CA529" s="1"/>
      <c r="CB529" s="1"/>
      <c r="CC529" s="1"/>
      <c r="CD529" s="3"/>
      <c r="CE529" s="3"/>
      <c r="CF529" s="1"/>
      <c r="CG529" s="1"/>
      <c r="CH529" s="3"/>
      <c r="CI529" s="3"/>
    </row>
    <row r="530" spans="16:87">
      <c r="P530" s="1"/>
      <c r="Q530" s="2"/>
      <c r="R530" s="2"/>
      <c r="S530" s="2"/>
      <c r="T530" s="2"/>
      <c r="U530" s="2"/>
      <c r="V530" s="1"/>
      <c r="W530" s="1"/>
      <c r="X530" s="1"/>
      <c r="Y530" s="1"/>
      <c r="Z530" s="1"/>
      <c r="AA530" s="1"/>
      <c r="AB530" s="1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1"/>
      <c r="BY530" s="1"/>
      <c r="BZ530" s="1"/>
      <c r="CA530" s="1"/>
      <c r="CB530" s="1"/>
      <c r="CC530" s="1"/>
      <c r="CD530" s="3"/>
      <c r="CE530" s="3"/>
      <c r="CF530" s="1"/>
      <c r="CG530" s="1"/>
      <c r="CH530" s="3"/>
      <c r="CI530" s="3"/>
    </row>
    <row r="531" spans="16:87">
      <c r="P531" s="1"/>
      <c r="Q531" s="2"/>
      <c r="R531" s="2"/>
      <c r="S531" s="2"/>
      <c r="T531" s="2"/>
      <c r="U531" s="2"/>
      <c r="V531" s="1"/>
      <c r="W531" s="1"/>
      <c r="X531" s="1"/>
      <c r="Y531" s="1"/>
      <c r="Z531" s="1"/>
      <c r="AA531" s="1"/>
      <c r="AB531" s="1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1"/>
      <c r="BY531" s="1"/>
      <c r="BZ531" s="1"/>
      <c r="CA531" s="1"/>
      <c r="CB531" s="1"/>
      <c r="CC531" s="1"/>
      <c r="CD531" s="3"/>
      <c r="CE531" s="3"/>
      <c r="CF531" s="1"/>
      <c r="CG531" s="1"/>
      <c r="CH531" s="3"/>
      <c r="CI531" s="3"/>
    </row>
    <row r="532" spans="16:87">
      <c r="P532" s="1"/>
      <c r="Q532" s="2"/>
      <c r="R532" s="2"/>
      <c r="S532" s="2"/>
      <c r="T532" s="2"/>
      <c r="U532" s="2"/>
      <c r="V532" s="1"/>
      <c r="W532" s="1"/>
      <c r="X532" s="1"/>
      <c r="Y532" s="1"/>
      <c r="Z532" s="1"/>
      <c r="AA532" s="1"/>
      <c r="AB532" s="1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1"/>
      <c r="BY532" s="1"/>
      <c r="BZ532" s="1"/>
      <c r="CA532" s="1"/>
      <c r="CB532" s="1"/>
      <c r="CC532" s="1"/>
      <c r="CD532" s="3"/>
      <c r="CE532" s="3"/>
      <c r="CF532" s="1"/>
      <c r="CG532" s="1"/>
      <c r="CH532" s="3"/>
      <c r="CI532" s="3"/>
    </row>
    <row r="533" spans="16:87">
      <c r="P533" s="1"/>
      <c r="Q533" s="2"/>
      <c r="R533" s="2"/>
      <c r="S533" s="2"/>
      <c r="T533" s="2"/>
      <c r="U533" s="2"/>
      <c r="V533" s="1"/>
      <c r="W533" s="1"/>
      <c r="X533" s="1"/>
      <c r="Y533" s="1"/>
      <c r="Z533" s="1"/>
      <c r="AA533" s="1"/>
      <c r="AB533" s="1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1"/>
      <c r="BY533" s="1"/>
      <c r="BZ533" s="1"/>
      <c r="CA533" s="1"/>
      <c r="CB533" s="1"/>
      <c r="CC533" s="1"/>
      <c r="CD533" s="3"/>
      <c r="CE533" s="3"/>
      <c r="CF533" s="1"/>
      <c r="CG533" s="1"/>
      <c r="CH533" s="3"/>
      <c r="CI533" s="3"/>
    </row>
    <row r="534" spans="16:87">
      <c r="P534" s="1"/>
      <c r="Q534" s="2"/>
      <c r="R534" s="2"/>
      <c r="S534" s="2"/>
      <c r="T534" s="2"/>
      <c r="U534" s="2"/>
      <c r="V534" s="1"/>
      <c r="W534" s="1"/>
      <c r="X534" s="1"/>
      <c r="Y534" s="1"/>
      <c r="Z534" s="1"/>
      <c r="AA534" s="1"/>
      <c r="AB534" s="1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1"/>
      <c r="BY534" s="1"/>
      <c r="BZ534" s="1"/>
      <c r="CA534" s="1"/>
      <c r="CB534" s="1"/>
      <c r="CC534" s="1"/>
      <c r="CD534" s="3"/>
      <c r="CE534" s="3"/>
      <c r="CF534" s="1"/>
      <c r="CG534" s="1"/>
      <c r="CH534" s="3"/>
      <c r="CI534" s="3"/>
    </row>
    <row r="535" spans="16:87">
      <c r="P535" s="1"/>
      <c r="Q535" s="2"/>
      <c r="R535" s="2"/>
      <c r="S535" s="2"/>
      <c r="T535" s="2"/>
      <c r="U535" s="2"/>
      <c r="V535" s="1"/>
      <c r="W535" s="1"/>
      <c r="X535" s="1"/>
      <c r="Y535" s="1"/>
      <c r="Z535" s="1"/>
      <c r="AA535" s="1"/>
      <c r="AB535" s="1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1"/>
      <c r="BY535" s="1"/>
      <c r="BZ535" s="1"/>
      <c r="CA535" s="1"/>
      <c r="CB535" s="1"/>
      <c r="CC535" s="1"/>
      <c r="CD535" s="3"/>
      <c r="CE535" s="3"/>
      <c r="CF535" s="1"/>
      <c r="CG535" s="1"/>
      <c r="CH535" s="3"/>
      <c r="CI535" s="3"/>
    </row>
    <row r="536" spans="16:87">
      <c r="P536" s="1"/>
      <c r="Q536" s="2"/>
      <c r="R536" s="2"/>
      <c r="S536" s="2"/>
      <c r="T536" s="2"/>
      <c r="U536" s="2"/>
      <c r="V536" s="1"/>
      <c r="W536" s="1"/>
      <c r="X536" s="1"/>
      <c r="Y536" s="1"/>
      <c r="Z536" s="1"/>
      <c r="AA536" s="1"/>
      <c r="AB536" s="1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1"/>
      <c r="BY536" s="1"/>
      <c r="BZ536" s="1"/>
      <c r="CA536" s="1"/>
      <c r="CB536" s="1"/>
      <c r="CC536" s="1"/>
      <c r="CD536" s="3"/>
      <c r="CE536" s="3"/>
      <c r="CF536" s="1"/>
      <c r="CG536" s="1"/>
      <c r="CH536" s="3"/>
      <c r="CI536" s="3"/>
    </row>
    <row r="537" spans="16:87">
      <c r="P537" s="1"/>
      <c r="Q537" s="2"/>
      <c r="R537" s="2"/>
      <c r="S537" s="2"/>
      <c r="T537" s="2"/>
      <c r="U537" s="2"/>
      <c r="V537" s="1"/>
      <c r="W537" s="1"/>
      <c r="X537" s="1"/>
      <c r="Y537" s="1"/>
      <c r="Z537" s="1"/>
      <c r="AA537" s="1"/>
      <c r="AB537" s="1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1"/>
      <c r="BY537" s="1"/>
      <c r="BZ537" s="1"/>
      <c r="CA537" s="1"/>
      <c r="CB537" s="1"/>
      <c r="CC537" s="1"/>
      <c r="CD537" s="3"/>
      <c r="CE537" s="3"/>
      <c r="CF537" s="1"/>
      <c r="CG537" s="1"/>
      <c r="CH537" s="3"/>
      <c r="CI537" s="3"/>
    </row>
    <row r="538" spans="16:87">
      <c r="P538" s="1"/>
      <c r="Q538" s="2"/>
      <c r="R538" s="2"/>
      <c r="S538" s="2"/>
      <c r="T538" s="2"/>
      <c r="U538" s="2"/>
      <c r="V538" s="1"/>
      <c r="W538" s="1"/>
      <c r="X538" s="1"/>
      <c r="Y538" s="1"/>
      <c r="Z538" s="1"/>
      <c r="AA538" s="1"/>
      <c r="AB538" s="1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1"/>
      <c r="BY538" s="1"/>
      <c r="BZ538" s="1"/>
      <c r="CA538" s="1"/>
      <c r="CB538" s="1"/>
      <c r="CC538" s="1"/>
      <c r="CD538" s="3"/>
      <c r="CE538" s="3"/>
      <c r="CF538" s="1"/>
      <c r="CG538" s="1"/>
      <c r="CH538" s="3"/>
      <c r="CI538" s="3"/>
    </row>
    <row r="539" spans="16:87">
      <c r="P539" s="1"/>
      <c r="Q539" s="2"/>
      <c r="R539" s="2"/>
      <c r="S539" s="2"/>
      <c r="T539" s="2"/>
      <c r="U539" s="2"/>
      <c r="V539" s="1"/>
      <c r="W539" s="1"/>
      <c r="X539" s="1"/>
      <c r="Y539" s="1"/>
      <c r="Z539" s="1"/>
      <c r="AA539" s="1"/>
      <c r="AB539" s="1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1"/>
      <c r="BY539" s="1"/>
      <c r="BZ539" s="1"/>
      <c r="CA539" s="1"/>
      <c r="CB539" s="1"/>
      <c r="CC539" s="1"/>
      <c r="CD539" s="3"/>
      <c r="CE539" s="3"/>
      <c r="CF539" s="1"/>
      <c r="CG539" s="1"/>
      <c r="CH539" s="3"/>
      <c r="CI539" s="3"/>
    </row>
    <row r="540" spans="16:87">
      <c r="P540" s="1"/>
      <c r="Q540" s="2"/>
      <c r="R540" s="2"/>
      <c r="S540" s="2"/>
      <c r="T540" s="2"/>
      <c r="U540" s="2"/>
      <c r="V540" s="1"/>
      <c r="W540" s="1"/>
      <c r="X540" s="1"/>
      <c r="Y540" s="1"/>
      <c r="Z540" s="1"/>
      <c r="AA540" s="1"/>
      <c r="AB540" s="1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1"/>
      <c r="BY540" s="1"/>
      <c r="BZ540" s="1"/>
      <c r="CA540" s="1"/>
      <c r="CB540" s="1"/>
      <c r="CC540" s="1"/>
      <c r="CD540" s="3"/>
      <c r="CE540" s="3"/>
      <c r="CF540" s="1"/>
      <c r="CG540" s="1"/>
      <c r="CH540" s="3"/>
      <c r="CI540" s="3"/>
    </row>
    <row r="541" spans="16:87">
      <c r="P541" s="1"/>
      <c r="Q541" s="2"/>
      <c r="R541" s="2"/>
      <c r="S541" s="2"/>
      <c r="T541" s="2"/>
      <c r="U541" s="2"/>
      <c r="V541" s="1"/>
      <c r="W541" s="1"/>
      <c r="X541" s="1"/>
      <c r="Y541" s="1"/>
      <c r="Z541" s="1"/>
      <c r="AA541" s="1"/>
      <c r="AB541" s="1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1"/>
      <c r="BY541" s="1"/>
      <c r="BZ541" s="1"/>
      <c r="CA541" s="1"/>
      <c r="CB541" s="1"/>
      <c r="CC541" s="1"/>
      <c r="CD541" s="3"/>
      <c r="CE541" s="3"/>
      <c r="CF541" s="1"/>
      <c r="CG541" s="1"/>
      <c r="CH541" s="3"/>
      <c r="CI541" s="3"/>
    </row>
    <row r="542" spans="16:87">
      <c r="P542" s="1"/>
      <c r="Q542" s="2"/>
      <c r="R542" s="2"/>
      <c r="S542" s="2"/>
      <c r="T542" s="2"/>
      <c r="U542" s="2"/>
      <c r="V542" s="1"/>
      <c r="W542" s="1"/>
      <c r="X542" s="1"/>
      <c r="Y542" s="1"/>
      <c r="Z542" s="1"/>
      <c r="AA542" s="1"/>
      <c r="AB542" s="1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1"/>
      <c r="BY542" s="1"/>
      <c r="BZ542" s="1"/>
      <c r="CA542" s="1"/>
      <c r="CB542" s="1"/>
      <c r="CC542" s="1"/>
      <c r="CD542" s="3"/>
      <c r="CE542" s="3"/>
      <c r="CF542" s="1"/>
      <c r="CG542" s="1"/>
      <c r="CH542" s="3"/>
      <c r="CI542" s="3"/>
    </row>
    <row r="543" spans="16:87">
      <c r="P543" s="1"/>
      <c r="Q543" s="2"/>
      <c r="R543" s="2"/>
      <c r="S543" s="2"/>
      <c r="T543" s="2"/>
      <c r="U543" s="2"/>
      <c r="V543" s="1"/>
      <c r="W543" s="1"/>
      <c r="X543" s="1"/>
      <c r="Y543" s="1"/>
      <c r="Z543" s="1"/>
      <c r="AA543" s="1"/>
      <c r="AB543" s="1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1"/>
      <c r="BY543" s="1"/>
      <c r="BZ543" s="1"/>
      <c r="CA543" s="1"/>
      <c r="CB543" s="1"/>
      <c r="CC543" s="1"/>
      <c r="CD543" s="3"/>
      <c r="CE543" s="3"/>
      <c r="CF543" s="1"/>
      <c r="CG543" s="1"/>
      <c r="CH543" s="3"/>
      <c r="CI543" s="3"/>
    </row>
    <row r="544" spans="16:87">
      <c r="P544" s="1"/>
      <c r="Q544" s="2"/>
      <c r="R544" s="2"/>
      <c r="S544" s="2"/>
      <c r="T544" s="2"/>
      <c r="U544" s="2"/>
      <c r="V544" s="1"/>
      <c r="W544" s="1"/>
      <c r="X544" s="1"/>
      <c r="Y544" s="1"/>
      <c r="Z544" s="1"/>
      <c r="AA544" s="1"/>
      <c r="AB544" s="1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1"/>
      <c r="BY544" s="1"/>
      <c r="BZ544" s="1"/>
      <c r="CA544" s="1"/>
      <c r="CB544" s="1"/>
      <c r="CC544" s="1"/>
      <c r="CD544" s="3"/>
      <c r="CE544" s="3"/>
      <c r="CF544" s="1"/>
      <c r="CG544" s="1"/>
      <c r="CH544" s="3"/>
      <c r="CI544" s="3"/>
    </row>
    <row r="545" spans="16:87">
      <c r="P545" s="1"/>
      <c r="Q545" s="2"/>
      <c r="R545" s="2"/>
      <c r="S545" s="2"/>
      <c r="T545" s="2"/>
      <c r="U545" s="2"/>
      <c r="V545" s="1"/>
      <c r="W545" s="1"/>
      <c r="X545" s="1"/>
      <c r="Y545" s="1"/>
      <c r="Z545" s="1"/>
      <c r="AA545" s="1"/>
      <c r="AB545" s="1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1"/>
      <c r="BY545" s="1"/>
      <c r="BZ545" s="1"/>
      <c r="CA545" s="1"/>
      <c r="CB545" s="1"/>
      <c r="CC545" s="1"/>
      <c r="CD545" s="3"/>
      <c r="CE545" s="3"/>
      <c r="CF545" s="1"/>
      <c r="CG545" s="1"/>
      <c r="CH545" s="3"/>
      <c r="CI545" s="3"/>
    </row>
    <row r="546" spans="16:87">
      <c r="P546" s="1"/>
      <c r="Q546" s="2"/>
      <c r="R546" s="2"/>
      <c r="S546" s="2"/>
      <c r="T546" s="2"/>
      <c r="U546" s="2"/>
      <c r="V546" s="1"/>
      <c r="W546" s="1"/>
      <c r="X546" s="1"/>
      <c r="Y546" s="1"/>
      <c r="Z546" s="1"/>
      <c r="AA546" s="1"/>
      <c r="AB546" s="1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1"/>
      <c r="BY546" s="1"/>
      <c r="BZ546" s="1"/>
      <c r="CA546" s="1"/>
      <c r="CB546" s="1"/>
      <c r="CC546" s="1"/>
      <c r="CD546" s="3"/>
      <c r="CE546" s="3"/>
      <c r="CF546" s="1"/>
      <c r="CG546" s="1"/>
      <c r="CH546" s="3"/>
      <c r="CI546" s="3"/>
    </row>
    <row r="547" spans="16:87">
      <c r="P547" s="1"/>
      <c r="Q547" s="2"/>
      <c r="R547" s="2"/>
      <c r="S547" s="2"/>
      <c r="T547" s="2"/>
      <c r="U547" s="2"/>
      <c r="V547" s="1"/>
      <c r="W547" s="1"/>
      <c r="X547" s="1"/>
      <c r="Y547" s="1"/>
      <c r="Z547" s="1"/>
      <c r="AA547" s="1"/>
      <c r="AB547" s="1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1"/>
      <c r="BY547" s="1"/>
      <c r="BZ547" s="1"/>
      <c r="CA547" s="1"/>
      <c r="CB547" s="1"/>
      <c r="CC547" s="1"/>
      <c r="CD547" s="3"/>
      <c r="CE547" s="3"/>
      <c r="CF547" s="1"/>
      <c r="CG547" s="1"/>
      <c r="CH547" s="3"/>
      <c r="CI547" s="3"/>
    </row>
    <row r="548" spans="16:87">
      <c r="P548" s="1"/>
      <c r="Q548" s="2"/>
      <c r="R548" s="2"/>
      <c r="S548" s="2"/>
      <c r="T548" s="2"/>
      <c r="U548" s="2"/>
      <c r="V548" s="1"/>
      <c r="W548" s="1"/>
      <c r="X548" s="1"/>
      <c r="Y548" s="1"/>
      <c r="Z548" s="1"/>
      <c r="AA548" s="1"/>
      <c r="AB548" s="1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1"/>
      <c r="BY548" s="1"/>
      <c r="BZ548" s="1"/>
      <c r="CA548" s="1"/>
      <c r="CB548" s="1"/>
      <c r="CC548" s="1"/>
      <c r="CD548" s="3"/>
      <c r="CE548" s="3"/>
      <c r="CF548" s="1"/>
      <c r="CG548" s="1"/>
      <c r="CH548" s="3"/>
      <c r="CI548" s="3"/>
    </row>
    <row r="549" spans="16:87">
      <c r="P549" s="1"/>
      <c r="Q549" s="2"/>
      <c r="R549" s="2"/>
      <c r="S549" s="2"/>
      <c r="T549" s="2"/>
      <c r="U549" s="2"/>
      <c r="V549" s="1"/>
      <c r="W549" s="1"/>
      <c r="X549" s="1"/>
      <c r="Y549" s="1"/>
      <c r="Z549" s="1"/>
      <c r="AA549" s="1"/>
      <c r="AB549" s="1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1"/>
      <c r="BY549" s="1"/>
      <c r="BZ549" s="1"/>
      <c r="CA549" s="1"/>
      <c r="CB549" s="1"/>
      <c r="CC549" s="1"/>
      <c r="CD549" s="3"/>
      <c r="CE549" s="3"/>
      <c r="CF549" s="1"/>
      <c r="CG549" s="1"/>
      <c r="CH549" s="3"/>
      <c r="CI549" s="3"/>
    </row>
    <row r="550" spans="16:87">
      <c r="P550" s="1"/>
      <c r="Q550" s="2"/>
      <c r="R550" s="2"/>
      <c r="S550" s="2"/>
      <c r="T550" s="2"/>
      <c r="U550" s="2"/>
      <c r="V550" s="1"/>
      <c r="W550" s="1"/>
      <c r="X550" s="1"/>
      <c r="Y550" s="1"/>
      <c r="Z550" s="1"/>
      <c r="AA550" s="1"/>
      <c r="AB550" s="1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1"/>
      <c r="BY550" s="1"/>
      <c r="BZ550" s="1"/>
      <c r="CA550" s="1"/>
      <c r="CB550" s="1"/>
      <c r="CC550" s="1"/>
      <c r="CD550" s="3"/>
      <c r="CE550" s="3"/>
      <c r="CF550" s="1"/>
      <c r="CG550" s="1"/>
      <c r="CH550" s="3"/>
      <c r="CI550" s="3"/>
    </row>
    <row r="551" spans="16:87">
      <c r="P551" s="1"/>
      <c r="Q551" s="2"/>
      <c r="R551" s="2"/>
      <c r="S551" s="2"/>
      <c r="T551" s="2"/>
      <c r="U551" s="2"/>
      <c r="V551" s="1"/>
      <c r="W551" s="1"/>
      <c r="X551" s="1"/>
      <c r="Y551" s="1"/>
      <c r="Z551" s="1"/>
      <c r="AA551" s="1"/>
      <c r="AB551" s="1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1"/>
      <c r="BY551" s="1"/>
      <c r="BZ551" s="1"/>
      <c r="CA551" s="1"/>
      <c r="CB551" s="1"/>
      <c r="CC551" s="1"/>
      <c r="CD551" s="3"/>
      <c r="CE551" s="3"/>
      <c r="CF551" s="1"/>
      <c r="CG551" s="1"/>
      <c r="CH551" s="3"/>
      <c r="CI551" s="3"/>
    </row>
    <row r="552" spans="16:87">
      <c r="P552" s="1"/>
      <c r="Q552" s="2"/>
      <c r="R552" s="2"/>
      <c r="S552" s="2"/>
      <c r="T552" s="2"/>
      <c r="U552" s="2"/>
      <c r="V552" s="1"/>
      <c r="W552" s="1"/>
      <c r="X552" s="1"/>
      <c r="Y552" s="1"/>
      <c r="Z552" s="1"/>
      <c r="AA552" s="1"/>
      <c r="AB552" s="1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1"/>
      <c r="BY552" s="1"/>
      <c r="BZ552" s="1"/>
      <c r="CA552" s="1"/>
      <c r="CB552" s="1"/>
      <c r="CC552" s="1"/>
      <c r="CD552" s="3"/>
      <c r="CE552" s="3"/>
      <c r="CF552" s="1"/>
      <c r="CG552" s="1"/>
      <c r="CH552" s="3"/>
      <c r="CI552" s="3"/>
    </row>
    <row r="553" spans="16:87">
      <c r="P553" s="1"/>
      <c r="Q553" s="2"/>
      <c r="R553" s="2"/>
      <c r="S553" s="2"/>
      <c r="T553" s="2"/>
      <c r="U553" s="2"/>
      <c r="V553" s="1"/>
      <c r="W553" s="1"/>
      <c r="X553" s="1"/>
      <c r="Y553" s="1"/>
      <c r="Z553" s="1"/>
      <c r="AA553" s="1"/>
      <c r="AB553" s="1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1"/>
      <c r="BY553" s="1"/>
      <c r="BZ553" s="1"/>
      <c r="CA553" s="1"/>
      <c r="CB553" s="1"/>
      <c r="CC553" s="1"/>
      <c r="CD553" s="3"/>
      <c r="CE553" s="3"/>
      <c r="CF553" s="1"/>
      <c r="CG553" s="1"/>
      <c r="CH553" s="3"/>
      <c r="CI553" s="3"/>
    </row>
    <row r="554" spans="16:87">
      <c r="P554" s="1"/>
      <c r="Q554" s="2"/>
      <c r="R554" s="2"/>
      <c r="S554" s="2"/>
      <c r="T554" s="2"/>
      <c r="U554" s="2"/>
      <c r="V554" s="1"/>
      <c r="W554" s="1"/>
      <c r="X554" s="1"/>
      <c r="Y554" s="1"/>
      <c r="Z554" s="1"/>
      <c r="AA554" s="1"/>
      <c r="AB554" s="1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1"/>
      <c r="BY554" s="1"/>
      <c r="BZ554" s="1"/>
      <c r="CA554" s="1"/>
      <c r="CB554" s="1"/>
      <c r="CC554" s="1"/>
      <c r="CD554" s="3"/>
      <c r="CE554" s="3"/>
      <c r="CF554" s="1"/>
      <c r="CG554" s="1"/>
      <c r="CH554" s="3"/>
      <c r="CI554" s="3"/>
    </row>
    <row r="555" spans="16:87">
      <c r="P555" s="1"/>
      <c r="Q555" s="2"/>
      <c r="R555" s="2"/>
      <c r="S555" s="2"/>
      <c r="T555" s="2"/>
      <c r="U555" s="2"/>
      <c r="V555" s="1"/>
      <c r="W555" s="1"/>
      <c r="X555" s="1"/>
      <c r="Y555" s="1"/>
      <c r="Z555" s="1"/>
      <c r="AA555" s="1"/>
      <c r="AB555" s="1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1"/>
      <c r="BY555" s="1"/>
      <c r="BZ555" s="1"/>
      <c r="CA555" s="1"/>
      <c r="CB555" s="1"/>
      <c r="CC555" s="1"/>
      <c r="CD555" s="3"/>
      <c r="CE555" s="3"/>
      <c r="CF555" s="1"/>
      <c r="CG555" s="1"/>
      <c r="CH555" s="3"/>
      <c r="CI555" s="3"/>
    </row>
    <row r="556" spans="16:87">
      <c r="P556" s="1"/>
      <c r="Q556" s="2"/>
      <c r="R556" s="2"/>
      <c r="S556" s="2"/>
      <c r="T556" s="2"/>
      <c r="U556" s="2"/>
      <c r="V556" s="1"/>
      <c r="W556" s="1"/>
      <c r="X556" s="1"/>
      <c r="Y556" s="1"/>
      <c r="Z556" s="1"/>
      <c r="AA556" s="1"/>
      <c r="AB556" s="1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1"/>
      <c r="BY556" s="1"/>
      <c r="BZ556" s="1"/>
      <c r="CA556" s="1"/>
      <c r="CB556" s="1"/>
      <c r="CC556" s="1"/>
      <c r="CD556" s="3"/>
      <c r="CE556" s="3"/>
      <c r="CF556" s="1"/>
      <c r="CG556" s="1"/>
      <c r="CH556" s="3"/>
      <c r="CI556" s="3"/>
    </row>
    <row r="557" spans="16:87">
      <c r="P557" s="1"/>
      <c r="Q557" s="2"/>
      <c r="R557" s="2"/>
      <c r="S557" s="2"/>
      <c r="T557" s="2"/>
      <c r="U557" s="2"/>
      <c r="V557" s="1"/>
      <c r="W557" s="1"/>
      <c r="X557" s="1"/>
      <c r="Y557" s="1"/>
      <c r="Z557" s="1"/>
      <c r="AA557" s="1"/>
      <c r="AB557" s="1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1"/>
      <c r="BY557" s="1"/>
      <c r="BZ557" s="1"/>
      <c r="CA557" s="1"/>
      <c r="CB557" s="1"/>
      <c r="CC557" s="1"/>
      <c r="CD557" s="3"/>
      <c r="CE557" s="3"/>
      <c r="CF557" s="1"/>
      <c r="CG557" s="1"/>
      <c r="CH557" s="3"/>
      <c r="CI557" s="3"/>
    </row>
    <row r="558" spans="16:87">
      <c r="P558" s="1"/>
      <c r="Q558" s="2"/>
      <c r="R558" s="2"/>
      <c r="S558" s="2"/>
      <c r="T558" s="2"/>
      <c r="U558" s="2"/>
      <c r="V558" s="1"/>
      <c r="W558" s="1"/>
      <c r="X558" s="1"/>
      <c r="Y558" s="1"/>
      <c r="Z558" s="1"/>
      <c r="AA558" s="1"/>
      <c r="AB558" s="1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1"/>
      <c r="BY558" s="1"/>
      <c r="BZ558" s="1"/>
      <c r="CA558" s="1"/>
      <c r="CB558" s="1"/>
      <c r="CC558" s="1"/>
      <c r="CD558" s="3"/>
      <c r="CE558" s="3"/>
      <c r="CF558" s="1"/>
      <c r="CG558" s="1"/>
      <c r="CH558" s="3"/>
      <c r="CI558" s="3"/>
    </row>
    <row r="559" spans="16:87">
      <c r="P559" s="1"/>
      <c r="Q559" s="2"/>
      <c r="R559" s="2"/>
      <c r="S559" s="2"/>
      <c r="T559" s="2"/>
      <c r="U559" s="2"/>
      <c r="V559" s="1"/>
      <c r="W559" s="1"/>
      <c r="X559" s="1"/>
      <c r="Y559" s="1"/>
      <c r="Z559" s="1"/>
      <c r="AA559" s="1"/>
      <c r="AB559" s="1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1"/>
      <c r="BY559" s="1"/>
      <c r="BZ559" s="1"/>
      <c r="CA559" s="1"/>
      <c r="CB559" s="1"/>
      <c r="CC559" s="1"/>
      <c r="CD559" s="3"/>
      <c r="CE559" s="3"/>
      <c r="CF559" s="1"/>
      <c r="CG559" s="1"/>
      <c r="CH559" s="3"/>
      <c r="CI559" s="3"/>
    </row>
    <row r="560" spans="16:87">
      <c r="P560" s="1"/>
      <c r="Q560" s="2"/>
      <c r="R560" s="2"/>
      <c r="S560" s="2"/>
      <c r="T560" s="2"/>
      <c r="U560" s="2"/>
      <c r="V560" s="1"/>
      <c r="W560" s="1"/>
      <c r="X560" s="1"/>
      <c r="Y560" s="1"/>
      <c r="Z560" s="1"/>
      <c r="AA560" s="1"/>
      <c r="AB560" s="1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1"/>
      <c r="BY560" s="1"/>
      <c r="BZ560" s="1"/>
      <c r="CA560" s="1"/>
      <c r="CB560" s="1"/>
      <c r="CC560" s="1"/>
      <c r="CD560" s="3"/>
      <c r="CE560" s="3"/>
      <c r="CF560" s="1"/>
      <c r="CG560" s="1"/>
      <c r="CH560" s="3"/>
      <c r="CI560" s="3"/>
    </row>
    <row r="561" spans="16:87">
      <c r="P561" s="1"/>
      <c r="Q561" s="2"/>
      <c r="R561" s="2"/>
      <c r="S561" s="2"/>
      <c r="T561" s="2"/>
      <c r="U561" s="2"/>
      <c r="V561" s="1"/>
      <c r="W561" s="1"/>
      <c r="X561" s="1"/>
      <c r="Y561" s="1"/>
      <c r="Z561" s="1"/>
      <c r="AA561" s="1"/>
      <c r="AB561" s="1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1"/>
      <c r="BY561" s="1"/>
      <c r="BZ561" s="1"/>
      <c r="CA561" s="1"/>
      <c r="CB561" s="1"/>
      <c r="CC561" s="1"/>
      <c r="CD561" s="3"/>
      <c r="CE561" s="3"/>
      <c r="CF561" s="1"/>
      <c r="CG561" s="1"/>
      <c r="CH561" s="3"/>
      <c r="CI561" s="3"/>
    </row>
    <row r="562" spans="16:87">
      <c r="P562" s="1"/>
      <c r="Q562" s="2"/>
      <c r="R562" s="2"/>
      <c r="S562" s="2"/>
      <c r="T562" s="2"/>
      <c r="U562" s="2"/>
      <c r="V562" s="1"/>
      <c r="W562" s="1"/>
      <c r="X562" s="1"/>
      <c r="Y562" s="1"/>
      <c r="Z562" s="1"/>
      <c r="AA562" s="1"/>
      <c r="AB562" s="1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1"/>
      <c r="BY562" s="1"/>
      <c r="BZ562" s="1"/>
      <c r="CA562" s="1"/>
      <c r="CB562" s="1"/>
      <c r="CC562" s="1"/>
      <c r="CD562" s="3"/>
      <c r="CE562" s="3"/>
      <c r="CF562" s="1"/>
      <c r="CG562" s="1"/>
      <c r="CH562" s="3"/>
      <c r="CI562" s="3"/>
    </row>
    <row r="563" spans="16:87">
      <c r="P563" s="1"/>
      <c r="Q563" s="2"/>
      <c r="R563" s="2"/>
      <c r="S563" s="2"/>
      <c r="T563" s="2"/>
      <c r="U563" s="2"/>
      <c r="V563" s="1"/>
      <c r="W563" s="1"/>
      <c r="X563" s="1"/>
      <c r="Y563" s="1"/>
      <c r="Z563" s="1"/>
      <c r="AA563" s="1"/>
      <c r="AB563" s="1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1"/>
      <c r="BY563" s="1"/>
      <c r="BZ563" s="1"/>
      <c r="CA563" s="1"/>
      <c r="CB563" s="1"/>
      <c r="CC563" s="1"/>
      <c r="CD563" s="3"/>
      <c r="CE563" s="3"/>
      <c r="CF563" s="1"/>
      <c r="CG563" s="1"/>
      <c r="CH563" s="3"/>
      <c r="CI563" s="3"/>
    </row>
    <row r="564" spans="16:87">
      <c r="P564" s="1"/>
      <c r="Q564" s="2"/>
      <c r="R564" s="2"/>
      <c r="S564" s="2"/>
      <c r="T564" s="2"/>
      <c r="U564" s="2"/>
      <c r="V564" s="1"/>
      <c r="W564" s="1"/>
      <c r="X564" s="1"/>
      <c r="Y564" s="1"/>
      <c r="Z564" s="1"/>
      <c r="AA564" s="1"/>
      <c r="AB564" s="1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1"/>
      <c r="BY564" s="1"/>
      <c r="BZ564" s="1"/>
      <c r="CA564" s="1"/>
      <c r="CB564" s="1"/>
      <c r="CC564" s="1"/>
      <c r="CD564" s="3"/>
      <c r="CE564" s="3"/>
      <c r="CF564" s="1"/>
      <c r="CG564" s="1"/>
      <c r="CH564" s="3"/>
      <c r="CI564" s="3"/>
    </row>
    <row r="565" spans="16:87">
      <c r="P565" s="1"/>
      <c r="Q565" s="2"/>
      <c r="R565" s="2"/>
      <c r="S565" s="2"/>
      <c r="T565" s="2"/>
      <c r="U565" s="2"/>
      <c r="V565" s="1"/>
      <c r="W565" s="1"/>
      <c r="X565" s="1"/>
      <c r="Y565" s="1"/>
      <c r="Z565" s="1"/>
      <c r="AA565" s="1"/>
      <c r="AB565" s="1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1"/>
      <c r="BY565" s="1"/>
      <c r="BZ565" s="1"/>
      <c r="CA565" s="1"/>
      <c r="CB565" s="1"/>
      <c r="CC565" s="1"/>
      <c r="CD565" s="3"/>
      <c r="CE565" s="3"/>
      <c r="CF565" s="1"/>
      <c r="CG565" s="1"/>
      <c r="CH565" s="3"/>
      <c r="CI565" s="3"/>
    </row>
    <row r="566" spans="16:87">
      <c r="P566" s="1"/>
      <c r="Q566" s="2"/>
      <c r="R566" s="2"/>
      <c r="S566" s="2"/>
      <c r="T566" s="2"/>
      <c r="U566" s="2"/>
      <c r="V566" s="1"/>
      <c r="W566" s="1"/>
      <c r="X566" s="1"/>
      <c r="Y566" s="1"/>
      <c r="Z566" s="1"/>
      <c r="AA566" s="1"/>
      <c r="AB566" s="1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1"/>
      <c r="BY566" s="1"/>
      <c r="BZ566" s="1"/>
      <c r="CA566" s="1"/>
      <c r="CB566" s="1"/>
      <c r="CC566" s="1"/>
      <c r="CD566" s="3"/>
      <c r="CE566" s="3"/>
      <c r="CF566" s="1"/>
      <c r="CG566" s="1"/>
      <c r="CH566" s="3"/>
      <c r="CI566" s="3"/>
    </row>
    <row r="567" spans="16:87">
      <c r="P567" s="1"/>
      <c r="Q567" s="2"/>
      <c r="R567" s="2"/>
      <c r="S567" s="2"/>
      <c r="T567" s="2"/>
      <c r="U567" s="2"/>
      <c r="V567" s="1"/>
      <c r="W567" s="1"/>
      <c r="X567" s="1"/>
      <c r="Y567" s="1"/>
      <c r="Z567" s="1"/>
      <c r="AA567" s="1"/>
      <c r="AB567" s="1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1"/>
      <c r="BY567" s="1"/>
      <c r="BZ567" s="1"/>
      <c r="CA567" s="1"/>
      <c r="CB567" s="1"/>
      <c r="CC567" s="1"/>
      <c r="CD567" s="3"/>
      <c r="CE567" s="3"/>
      <c r="CF567" s="1"/>
      <c r="CG567" s="1"/>
      <c r="CH567" s="3"/>
      <c r="CI567" s="3"/>
    </row>
    <row r="568" spans="16:87">
      <c r="P568" s="1"/>
      <c r="Q568" s="2"/>
      <c r="R568" s="2"/>
      <c r="S568" s="2"/>
      <c r="T568" s="2"/>
      <c r="U568" s="2"/>
      <c r="V568" s="1"/>
      <c r="W568" s="1"/>
      <c r="X568" s="1"/>
      <c r="Y568" s="1"/>
      <c r="Z568" s="1"/>
      <c r="AA568" s="1"/>
      <c r="AB568" s="1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1"/>
      <c r="BY568" s="1"/>
      <c r="BZ568" s="1"/>
      <c r="CA568" s="1"/>
      <c r="CB568" s="1"/>
      <c r="CC568" s="1"/>
      <c r="CD568" s="3"/>
      <c r="CE568" s="3"/>
      <c r="CF568" s="1"/>
      <c r="CG568" s="1"/>
      <c r="CH568" s="3"/>
      <c r="CI568" s="3"/>
    </row>
    <row r="569" spans="16:87">
      <c r="P569" s="1"/>
      <c r="Q569" s="2"/>
      <c r="R569" s="2"/>
      <c r="S569" s="2"/>
      <c r="T569" s="2"/>
      <c r="U569" s="2"/>
      <c r="V569" s="1"/>
      <c r="W569" s="1"/>
      <c r="X569" s="1"/>
      <c r="Y569" s="1"/>
      <c r="Z569" s="1"/>
      <c r="AA569" s="1"/>
      <c r="AB569" s="1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1"/>
      <c r="BY569" s="1"/>
      <c r="BZ569" s="1"/>
      <c r="CA569" s="1"/>
      <c r="CB569" s="1"/>
      <c r="CC569" s="1"/>
      <c r="CD569" s="3"/>
      <c r="CE569" s="3"/>
      <c r="CF569" s="1"/>
      <c r="CG569" s="1"/>
      <c r="CH569" s="3"/>
      <c r="CI569" s="3"/>
    </row>
    <row r="570" spans="16:87">
      <c r="P570" s="1"/>
      <c r="Q570" s="2"/>
      <c r="R570" s="2"/>
      <c r="S570" s="2"/>
      <c r="T570" s="2"/>
      <c r="U570" s="2"/>
      <c r="V570" s="1"/>
      <c r="W570" s="1"/>
      <c r="X570" s="1"/>
      <c r="Y570" s="1"/>
      <c r="Z570" s="1"/>
      <c r="AA570" s="1"/>
      <c r="AB570" s="1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1"/>
      <c r="BY570" s="1"/>
      <c r="BZ570" s="1"/>
      <c r="CA570" s="1"/>
      <c r="CB570" s="1"/>
      <c r="CC570" s="1"/>
      <c r="CD570" s="3"/>
      <c r="CE570" s="3"/>
      <c r="CF570" s="1"/>
      <c r="CG570" s="1"/>
      <c r="CH570" s="3"/>
      <c r="CI570" s="3"/>
    </row>
    <row r="571" spans="16:87">
      <c r="P571" s="1"/>
      <c r="Q571" s="2"/>
      <c r="R571" s="2"/>
      <c r="S571" s="2"/>
      <c r="T571" s="2"/>
      <c r="U571" s="2"/>
      <c r="V571" s="1"/>
      <c r="W571" s="1"/>
      <c r="X571" s="1"/>
      <c r="Y571" s="1"/>
      <c r="Z571" s="1"/>
      <c r="AA571" s="1"/>
      <c r="AB571" s="1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1"/>
      <c r="BY571" s="1"/>
      <c r="BZ571" s="1"/>
      <c r="CA571" s="1"/>
      <c r="CB571" s="1"/>
      <c r="CC571" s="1"/>
      <c r="CD571" s="3"/>
      <c r="CE571" s="3"/>
      <c r="CF571" s="1"/>
      <c r="CG571" s="1"/>
      <c r="CH571" s="3"/>
      <c r="CI571" s="3"/>
    </row>
    <row r="572" spans="16:87">
      <c r="P572" s="1"/>
      <c r="Q572" s="2"/>
      <c r="R572" s="2"/>
      <c r="S572" s="2"/>
      <c r="T572" s="2"/>
      <c r="U572" s="2"/>
      <c r="V572" s="1"/>
      <c r="W572" s="1"/>
      <c r="X572" s="1"/>
      <c r="Y572" s="1"/>
      <c r="Z572" s="1"/>
      <c r="AA572" s="1"/>
      <c r="AB572" s="1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1"/>
      <c r="BY572" s="1"/>
      <c r="BZ572" s="1"/>
      <c r="CA572" s="1"/>
      <c r="CB572" s="1"/>
      <c r="CC572" s="1"/>
      <c r="CD572" s="3"/>
      <c r="CE572" s="3"/>
      <c r="CF572" s="1"/>
      <c r="CG572" s="1"/>
      <c r="CH572" s="3"/>
      <c r="CI572" s="3"/>
    </row>
    <row r="573" spans="16:87">
      <c r="P573" s="1"/>
      <c r="Q573" s="2"/>
      <c r="R573" s="2"/>
      <c r="S573" s="2"/>
      <c r="T573" s="2"/>
      <c r="U573" s="2"/>
      <c r="V573" s="1"/>
      <c r="W573" s="1"/>
      <c r="X573" s="1"/>
      <c r="Y573" s="1"/>
      <c r="Z573" s="1"/>
      <c r="AA573" s="1"/>
      <c r="AB573" s="1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1"/>
      <c r="BY573" s="1"/>
      <c r="BZ573" s="1"/>
      <c r="CA573" s="1"/>
      <c r="CB573" s="1"/>
      <c r="CC573" s="1"/>
      <c r="CD573" s="3"/>
      <c r="CE573" s="3"/>
      <c r="CF573" s="1"/>
      <c r="CG573" s="1"/>
      <c r="CH573" s="3"/>
      <c r="CI573" s="3"/>
    </row>
    <row r="574" spans="16:87">
      <c r="P574" s="1"/>
      <c r="Q574" s="2"/>
      <c r="R574" s="2"/>
      <c r="S574" s="2"/>
      <c r="T574" s="2"/>
      <c r="U574" s="2"/>
      <c r="V574" s="1"/>
      <c r="W574" s="1"/>
      <c r="X574" s="1"/>
      <c r="Y574" s="1"/>
      <c r="Z574" s="1"/>
      <c r="AA574" s="1"/>
      <c r="AB574" s="1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1"/>
      <c r="BY574" s="1"/>
      <c r="BZ574" s="1"/>
      <c r="CA574" s="1"/>
      <c r="CB574" s="1"/>
      <c r="CC574" s="1"/>
      <c r="CD574" s="3"/>
      <c r="CE574" s="3"/>
      <c r="CF574" s="1"/>
      <c r="CG574" s="1"/>
      <c r="CH574" s="3"/>
      <c r="CI574" s="3"/>
    </row>
    <row r="575" spans="16:87">
      <c r="P575" s="1"/>
      <c r="Q575" s="2"/>
      <c r="R575" s="2"/>
      <c r="S575" s="2"/>
      <c r="T575" s="2"/>
      <c r="U575" s="2"/>
      <c r="V575" s="1"/>
      <c r="W575" s="1"/>
      <c r="X575" s="1"/>
      <c r="Y575" s="1"/>
      <c r="Z575" s="1"/>
      <c r="AA575" s="1"/>
      <c r="AB575" s="1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1"/>
      <c r="BY575" s="1"/>
      <c r="BZ575" s="1"/>
      <c r="CA575" s="1"/>
      <c r="CB575" s="1"/>
      <c r="CC575" s="1"/>
      <c r="CD575" s="3"/>
      <c r="CE575" s="3"/>
      <c r="CF575" s="1"/>
      <c r="CG575" s="1"/>
      <c r="CH575" s="3"/>
      <c r="CI575" s="3"/>
    </row>
    <row r="576" spans="16:87">
      <c r="P576" s="1"/>
      <c r="Q576" s="2"/>
      <c r="R576" s="2"/>
      <c r="S576" s="2"/>
      <c r="T576" s="2"/>
      <c r="U576" s="2"/>
      <c r="V576" s="1"/>
      <c r="W576" s="1"/>
      <c r="X576" s="1"/>
      <c r="Y576" s="1"/>
      <c r="Z576" s="1"/>
      <c r="AA576" s="1"/>
      <c r="AB576" s="1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1"/>
      <c r="BY576" s="1"/>
      <c r="BZ576" s="1"/>
      <c r="CA576" s="1"/>
      <c r="CB576" s="1"/>
      <c r="CC576" s="1"/>
      <c r="CD576" s="3"/>
      <c r="CE576" s="3"/>
      <c r="CF576" s="1"/>
      <c r="CG576" s="1"/>
      <c r="CH576" s="3"/>
      <c r="CI576" s="3"/>
    </row>
    <row r="577" spans="16:87">
      <c r="P577" s="1"/>
      <c r="Q577" s="2"/>
      <c r="R577" s="2"/>
      <c r="S577" s="2"/>
      <c r="T577" s="2"/>
      <c r="U577" s="2"/>
      <c r="V577" s="1"/>
      <c r="W577" s="1"/>
      <c r="X577" s="1"/>
      <c r="Y577" s="1"/>
      <c r="Z577" s="1"/>
      <c r="AA577" s="1"/>
      <c r="AB577" s="1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1"/>
      <c r="BY577" s="1"/>
      <c r="BZ577" s="1"/>
      <c r="CA577" s="1"/>
      <c r="CB577" s="1"/>
      <c r="CC577" s="1"/>
      <c r="CD577" s="3"/>
      <c r="CE577" s="3"/>
      <c r="CF577" s="1"/>
      <c r="CG577" s="1"/>
      <c r="CH577" s="3"/>
      <c r="CI577" s="3"/>
    </row>
    <row r="578" spans="16:87">
      <c r="P578" s="1"/>
      <c r="Q578" s="2"/>
      <c r="R578" s="2"/>
      <c r="S578" s="2"/>
      <c r="T578" s="2"/>
      <c r="U578" s="2"/>
      <c r="V578" s="1"/>
      <c r="W578" s="1"/>
      <c r="X578" s="1"/>
      <c r="Y578" s="1"/>
      <c r="Z578" s="1"/>
      <c r="AA578" s="1"/>
      <c r="AB578" s="1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1"/>
      <c r="BY578" s="1"/>
      <c r="BZ578" s="1"/>
      <c r="CA578" s="1"/>
      <c r="CB578" s="1"/>
      <c r="CC578" s="1"/>
      <c r="CD578" s="3"/>
      <c r="CE578" s="3"/>
      <c r="CF578" s="1"/>
      <c r="CG578" s="1"/>
      <c r="CH578" s="3"/>
      <c r="CI578" s="3"/>
    </row>
    <row r="579" spans="16:87">
      <c r="P579" s="1"/>
      <c r="Q579" s="2"/>
      <c r="R579" s="2"/>
      <c r="S579" s="2"/>
      <c r="T579" s="2"/>
      <c r="U579" s="2"/>
      <c r="V579" s="1"/>
      <c r="W579" s="1"/>
      <c r="X579" s="1"/>
      <c r="Y579" s="1"/>
      <c r="Z579" s="1"/>
      <c r="AA579" s="1"/>
      <c r="AB579" s="1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1"/>
      <c r="BY579" s="1"/>
      <c r="BZ579" s="1"/>
      <c r="CA579" s="1"/>
      <c r="CB579" s="1"/>
      <c r="CC579" s="1"/>
      <c r="CD579" s="3"/>
      <c r="CE579" s="3"/>
      <c r="CF579" s="1"/>
      <c r="CG579" s="1"/>
      <c r="CH579" s="3"/>
      <c r="CI579" s="3"/>
    </row>
    <row r="580" spans="16:87">
      <c r="P580" s="1"/>
      <c r="Q580" s="2"/>
      <c r="R580" s="2"/>
      <c r="S580" s="2"/>
      <c r="T580" s="2"/>
      <c r="U580" s="2"/>
      <c r="V580" s="1"/>
      <c r="W580" s="1"/>
      <c r="X580" s="1"/>
      <c r="Y580" s="1"/>
      <c r="Z580" s="1"/>
      <c r="AA580" s="1"/>
      <c r="AB580" s="1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1"/>
      <c r="BY580" s="1"/>
      <c r="BZ580" s="1"/>
      <c r="CA580" s="1"/>
      <c r="CB580" s="1"/>
      <c r="CC580" s="1"/>
      <c r="CD580" s="3"/>
      <c r="CE580" s="3"/>
      <c r="CF580" s="1"/>
      <c r="CG580" s="1"/>
      <c r="CH580" s="3"/>
      <c r="CI580" s="3"/>
    </row>
    <row r="581" spans="16:87">
      <c r="P581" s="1"/>
      <c r="Q581" s="2"/>
      <c r="R581" s="2"/>
      <c r="S581" s="2"/>
      <c r="T581" s="2"/>
      <c r="U581" s="2"/>
      <c r="V581" s="1"/>
      <c r="W581" s="1"/>
      <c r="X581" s="1"/>
      <c r="Y581" s="1"/>
      <c r="Z581" s="1"/>
      <c r="AA581" s="1"/>
      <c r="AB581" s="1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1"/>
      <c r="BY581" s="1"/>
      <c r="BZ581" s="1"/>
      <c r="CA581" s="1"/>
      <c r="CB581" s="1"/>
      <c r="CC581" s="1"/>
      <c r="CD581" s="3"/>
      <c r="CE581" s="3"/>
      <c r="CF581" s="1"/>
      <c r="CG581" s="1"/>
      <c r="CH581" s="3"/>
      <c r="CI581" s="3"/>
    </row>
    <row r="582" spans="16:87">
      <c r="P582" s="1"/>
      <c r="Q582" s="2"/>
      <c r="R582" s="2"/>
      <c r="S582" s="2"/>
      <c r="T582" s="2"/>
      <c r="U582" s="2"/>
      <c r="V582" s="1"/>
      <c r="W582" s="1"/>
      <c r="X582" s="1"/>
      <c r="Y582" s="1"/>
      <c r="Z582" s="1"/>
      <c r="AA582" s="1"/>
      <c r="AB582" s="1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1"/>
      <c r="BY582" s="1"/>
      <c r="BZ582" s="1"/>
      <c r="CA582" s="1"/>
      <c r="CB582" s="1"/>
      <c r="CC582" s="1"/>
      <c r="CD582" s="3"/>
      <c r="CE582" s="3"/>
      <c r="CF582" s="1"/>
      <c r="CG582" s="1"/>
      <c r="CH582" s="3"/>
      <c r="CI582" s="3"/>
    </row>
    <row r="583" spans="16:87">
      <c r="P583" s="1"/>
      <c r="Q583" s="2"/>
      <c r="R583" s="2"/>
      <c r="S583" s="2"/>
      <c r="T583" s="2"/>
      <c r="U583" s="2"/>
      <c r="V583" s="1"/>
      <c r="W583" s="1"/>
      <c r="X583" s="1"/>
      <c r="Y583" s="1"/>
      <c r="Z583" s="1"/>
      <c r="AA583" s="1"/>
      <c r="AB583" s="1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1"/>
      <c r="BY583" s="1"/>
      <c r="BZ583" s="1"/>
      <c r="CA583" s="1"/>
      <c r="CB583" s="1"/>
      <c r="CC583" s="1"/>
      <c r="CD583" s="3"/>
      <c r="CE583" s="3"/>
      <c r="CF583" s="1"/>
      <c r="CG583" s="1"/>
      <c r="CH583" s="3"/>
      <c r="CI583" s="3"/>
    </row>
    <row r="584" spans="16:87">
      <c r="P584" s="1"/>
      <c r="Q584" s="2"/>
      <c r="R584" s="2"/>
      <c r="S584" s="2"/>
      <c r="T584" s="2"/>
      <c r="U584" s="2"/>
      <c r="V584" s="1"/>
      <c r="W584" s="1"/>
      <c r="X584" s="1"/>
      <c r="Y584" s="1"/>
      <c r="Z584" s="1"/>
      <c r="AA584" s="1"/>
      <c r="AB584" s="1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1"/>
      <c r="BY584" s="1"/>
      <c r="BZ584" s="1"/>
      <c r="CA584" s="1"/>
      <c r="CB584" s="1"/>
      <c r="CC584" s="1"/>
      <c r="CD584" s="3"/>
      <c r="CE584" s="3"/>
      <c r="CF584" s="1"/>
      <c r="CG584" s="1"/>
      <c r="CH584" s="3"/>
      <c r="CI584" s="3"/>
    </row>
    <row r="585" spans="16:87">
      <c r="P585" s="1"/>
      <c r="Q585" s="2"/>
      <c r="R585" s="2"/>
      <c r="S585" s="2"/>
      <c r="T585" s="2"/>
      <c r="U585" s="2"/>
      <c r="V585" s="1"/>
      <c r="W585" s="1"/>
      <c r="X585" s="1"/>
      <c r="Y585" s="1"/>
      <c r="Z585" s="1"/>
      <c r="AA585" s="1"/>
      <c r="AB585" s="1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1"/>
      <c r="BY585" s="1"/>
      <c r="BZ585" s="1"/>
      <c r="CA585" s="1"/>
      <c r="CB585" s="1"/>
      <c r="CC585" s="1"/>
      <c r="CD585" s="3"/>
      <c r="CE585" s="3"/>
      <c r="CF585" s="1"/>
      <c r="CG585" s="1"/>
      <c r="CH585" s="3"/>
      <c r="CI585" s="3"/>
    </row>
    <row r="586" spans="16:87">
      <c r="P586" s="1"/>
      <c r="Q586" s="2"/>
      <c r="R586" s="2"/>
      <c r="S586" s="2"/>
      <c r="T586" s="2"/>
      <c r="U586" s="2"/>
      <c r="V586" s="1"/>
      <c r="W586" s="1"/>
      <c r="X586" s="1"/>
      <c r="Y586" s="1"/>
      <c r="Z586" s="1"/>
      <c r="AA586" s="1"/>
      <c r="AB586" s="1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1"/>
      <c r="BY586" s="1"/>
      <c r="BZ586" s="1"/>
      <c r="CA586" s="1"/>
      <c r="CB586" s="1"/>
      <c r="CC586" s="1"/>
      <c r="CD586" s="3"/>
      <c r="CE586" s="3"/>
      <c r="CF586" s="1"/>
      <c r="CG586" s="1"/>
      <c r="CH586" s="3"/>
      <c r="CI586" s="3"/>
    </row>
    <row r="587" spans="16:87">
      <c r="P587" s="1"/>
      <c r="Q587" s="2"/>
      <c r="R587" s="2"/>
      <c r="S587" s="2"/>
      <c r="T587" s="2"/>
      <c r="U587" s="2"/>
      <c r="V587" s="1"/>
      <c r="W587" s="1"/>
      <c r="X587" s="1"/>
      <c r="Y587" s="1"/>
      <c r="Z587" s="1"/>
      <c r="AA587" s="1"/>
      <c r="AB587" s="1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1"/>
      <c r="BY587" s="1"/>
      <c r="BZ587" s="1"/>
      <c r="CA587" s="1"/>
      <c r="CB587" s="1"/>
      <c r="CC587" s="1"/>
      <c r="CD587" s="3"/>
      <c r="CE587" s="3"/>
      <c r="CF587" s="1"/>
      <c r="CG587" s="1"/>
      <c r="CH587" s="3"/>
      <c r="CI587" s="3"/>
    </row>
    <row r="588" spans="16:87">
      <c r="P588" s="1"/>
      <c r="Q588" s="2"/>
      <c r="R588" s="2"/>
      <c r="S588" s="2"/>
      <c r="T588" s="2"/>
      <c r="U588" s="2"/>
      <c r="V588" s="1"/>
      <c r="W588" s="1"/>
      <c r="X588" s="1"/>
      <c r="Y588" s="1"/>
      <c r="Z588" s="1"/>
      <c r="AA588" s="1"/>
      <c r="AB588" s="1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1"/>
      <c r="BY588" s="1"/>
      <c r="BZ588" s="1"/>
      <c r="CA588" s="1"/>
      <c r="CB588" s="1"/>
      <c r="CC588" s="1"/>
      <c r="CD588" s="3"/>
      <c r="CE588" s="3"/>
      <c r="CF588" s="1"/>
      <c r="CG588" s="1"/>
      <c r="CH588" s="3"/>
      <c r="CI588" s="3"/>
    </row>
    <row r="589" spans="16:87">
      <c r="P589" s="1"/>
      <c r="Q589" s="2"/>
      <c r="R589" s="2"/>
      <c r="S589" s="2"/>
      <c r="T589" s="2"/>
      <c r="U589" s="2"/>
      <c r="V589" s="1"/>
      <c r="W589" s="1"/>
      <c r="X589" s="1"/>
      <c r="Y589" s="1"/>
      <c r="Z589" s="1"/>
      <c r="AA589" s="1"/>
      <c r="AB589" s="1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1"/>
      <c r="BY589" s="1"/>
      <c r="BZ589" s="1"/>
      <c r="CA589" s="1"/>
      <c r="CB589" s="1"/>
      <c r="CC589" s="1"/>
      <c r="CD589" s="3"/>
      <c r="CE589" s="3"/>
      <c r="CF589" s="1"/>
      <c r="CG589" s="1"/>
      <c r="CH589" s="3"/>
      <c r="CI589" s="3"/>
    </row>
    <row r="590" spans="16:87">
      <c r="P590" s="1"/>
      <c r="Q590" s="2"/>
      <c r="R590" s="2"/>
      <c r="S590" s="2"/>
      <c r="T590" s="2"/>
      <c r="U590" s="2"/>
      <c r="V590" s="1"/>
      <c r="W590" s="1"/>
      <c r="X590" s="1"/>
      <c r="Y590" s="1"/>
      <c r="Z590" s="1"/>
      <c r="AA590" s="1"/>
      <c r="AB590" s="1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1"/>
      <c r="BY590" s="1"/>
      <c r="BZ590" s="1"/>
      <c r="CA590" s="1"/>
      <c r="CB590" s="1"/>
      <c r="CC590" s="1"/>
      <c r="CD590" s="3"/>
      <c r="CE590" s="3"/>
      <c r="CF590" s="1"/>
      <c r="CG590" s="1"/>
      <c r="CH590" s="3"/>
      <c r="CI590" s="3"/>
    </row>
    <row r="591" spans="16:87">
      <c r="P591" s="1"/>
      <c r="Q591" s="2"/>
      <c r="R591" s="2"/>
      <c r="S591" s="2"/>
      <c r="T591" s="2"/>
      <c r="U591" s="2"/>
      <c r="V591" s="1"/>
      <c r="W591" s="1"/>
      <c r="X591" s="1"/>
      <c r="Y591" s="1"/>
      <c r="Z591" s="1"/>
      <c r="AA591" s="1"/>
      <c r="AB591" s="1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1"/>
      <c r="BY591" s="1"/>
      <c r="BZ591" s="1"/>
      <c r="CA591" s="1"/>
      <c r="CB591" s="1"/>
      <c r="CC591" s="1"/>
      <c r="CD591" s="3"/>
      <c r="CE591" s="3"/>
      <c r="CF591" s="1"/>
      <c r="CG591" s="1"/>
      <c r="CH591" s="3"/>
      <c r="CI591" s="3"/>
    </row>
    <row r="592" spans="16:87">
      <c r="P592" s="1"/>
      <c r="Q592" s="2"/>
      <c r="R592" s="2"/>
      <c r="S592" s="2"/>
      <c r="T592" s="2"/>
      <c r="U592" s="2"/>
      <c r="V592" s="1"/>
      <c r="W592" s="1"/>
      <c r="X592" s="1"/>
      <c r="Y592" s="1"/>
      <c r="Z592" s="1"/>
      <c r="AA592" s="1"/>
      <c r="AB592" s="1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1"/>
      <c r="BY592" s="1"/>
      <c r="BZ592" s="1"/>
      <c r="CA592" s="1"/>
      <c r="CB592" s="1"/>
      <c r="CC592" s="1"/>
      <c r="CD592" s="3"/>
      <c r="CE592" s="3"/>
      <c r="CF592" s="1"/>
      <c r="CG592" s="1"/>
      <c r="CH592" s="3"/>
      <c r="CI592" s="3"/>
    </row>
    <row r="593" spans="16:87">
      <c r="P593" s="1"/>
      <c r="Q593" s="2"/>
      <c r="R593" s="2"/>
      <c r="S593" s="2"/>
      <c r="T593" s="2"/>
      <c r="U593" s="2"/>
      <c r="V593" s="1"/>
      <c r="W593" s="1"/>
      <c r="X593" s="1"/>
      <c r="Y593" s="1"/>
      <c r="Z593" s="1"/>
      <c r="AA593" s="1"/>
      <c r="AB593" s="1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1"/>
      <c r="BY593" s="1"/>
      <c r="BZ593" s="1"/>
      <c r="CA593" s="1"/>
      <c r="CB593" s="1"/>
      <c r="CC593" s="1"/>
      <c r="CD593" s="3"/>
      <c r="CE593" s="3"/>
      <c r="CF593" s="1"/>
      <c r="CG593" s="1"/>
      <c r="CH593" s="3"/>
      <c r="CI593" s="3"/>
    </row>
    <row r="594" spans="16:87">
      <c r="P594" s="1"/>
      <c r="Q594" s="2"/>
      <c r="R594" s="2"/>
      <c r="S594" s="2"/>
      <c r="T594" s="2"/>
      <c r="U594" s="2"/>
      <c r="V594" s="1"/>
      <c r="W594" s="1"/>
      <c r="X594" s="1"/>
      <c r="Y594" s="1"/>
      <c r="Z594" s="1"/>
      <c r="AA594" s="1"/>
      <c r="AB594" s="1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1"/>
      <c r="BY594" s="1"/>
      <c r="BZ594" s="1"/>
      <c r="CA594" s="1"/>
      <c r="CB594" s="1"/>
      <c r="CC594" s="1"/>
      <c r="CD594" s="3"/>
      <c r="CE594" s="3"/>
      <c r="CF594" s="1"/>
      <c r="CG594" s="1"/>
      <c r="CH594" s="3"/>
      <c r="CI594" s="3"/>
    </row>
    <row r="595" spans="16:87">
      <c r="P595" s="1"/>
      <c r="Q595" s="2"/>
      <c r="R595" s="2"/>
      <c r="S595" s="2"/>
      <c r="T595" s="2"/>
      <c r="U595" s="2"/>
      <c r="V595" s="1"/>
      <c r="W595" s="1"/>
      <c r="X595" s="1"/>
      <c r="Y595" s="1"/>
      <c r="Z595" s="1"/>
      <c r="AA595" s="1"/>
      <c r="AB595" s="1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1"/>
      <c r="BY595" s="1"/>
      <c r="BZ595" s="1"/>
      <c r="CA595" s="1"/>
      <c r="CB595" s="1"/>
      <c r="CC595" s="1"/>
      <c r="CD595" s="3"/>
      <c r="CE595" s="3"/>
      <c r="CF595" s="1"/>
      <c r="CG595" s="1"/>
      <c r="CH595" s="3"/>
      <c r="CI595" s="3"/>
    </row>
    <row r="596" spans="16:87">
      <c r="P596" s="1"/>
      <c r="Q596" s="2"/>
      <c r="R596" s="2"/>
      <c r="S596" s="2"/>
      <c r="T596" s="2"/>
      <c r="U596" s="2"/>
      <c r="V596" s="1"/>
      <c r="W596" s="1"/>
      <c r="X596" s="1"/>
      <c r="Y596" s="1"/>
      <c r="Z596" s="1"/>
      <c r="AA596" s="1"/>
      <c r="AB596" s="1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1"/>
      <c r="BY596" s="1"/>
      <c r="BZ596" s="1"/>
      <c r="CA596" s="1"/>
      <c r="CB596" s="1"/>
      <c r="CC596" s="1"/>
      <c r="CD596" s="3"/>
      <c r="CE596" s="3"/>
      <c r="CF596" s="1"/>
      <c r="CG596" s="1"/>
      <c r="CH596" s="3"/>
      <c r="CI596" s="3"/>
    </row>
    <row r="597" spans="16:87">
      <c r="P597" s="1"/>
      <c r="Q597" s="2"/>
      <c r="R597" s="2"/>
      <c r="S597" s="2"/>
      <c r="T597" s="2"/>
      <c r="U597" s="2"/>
      <c r="V597" s="1"/>
      <c r="W597" s="1"/>
      <c r="X597" s="1"/>
      <c r="Y597" s="1"/>
      <c r="Z597" s="1"/>
      <c r="AA597" s="1"/>
      <c r="AB597" s="1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1"/>
      <c r="BY597" s="1"/>
      <c r="BZ597" s="1"/>
      <c r="CA597" s="1"/>
      <c r="CB597" s="1"/>
      <c r="CC597" s="1"/>
      <c r="CD597" s="3"/>
      <c r="CE597" s="3"/>
      <c r="CF597" s="1"/>
      <c r="CG597" s="1"/>
      <c r="CH597" s="3"/>
      <c r="CI597" s="3"/>
    </row>
    <row r="598" spans="16:87">
      <c r="P598" s="1"/>
      <c r="Q598" s="2"/>
      <c r="R598" s="2"/>
      <c r="S598" s="2"/>
      <c r="T598" s="2"/>
      <c r="U598" s="2"/>
      <c r="V598" s="1"/>
      <c r="W598" s="1"/>
      <c r="X598" s="1"/>
      <c r="Y598" s="1"/>
      <c r="Z598" s="1"/>
      <c r="AA598" s="1"/>
      <c r="AB598" s="1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1"/>
      <c r="BY598" s="1"/>
      <c r="BZ598" s="1"/>
      <c r="CA598" s="1"/>
      <c r="CB598" s="1"/>
      <c r="CC598" s="1"/>
      <c r="CD598" s="3"/>
      <c r="CE598" s="3"/>
      <c r="CF598" s="1"/>
      <c r="CG598" s="1"/>
      <c r="CH598" s="3"/>
      <c r="CI598" s="3"/>
    </row>
    <row r="599" spans="16:87">
      <c r="P599" s="1"/>
      <c r="Q599" s="2"/>
      <c r="R599" s="2"/>
      <c r="S599" s="2"/>
      <c r="T599" s="2"/>
      <c r="U599" s="2"/>
      <c r="V599" s="1"/>
      <c r="W599" s="1"/>
      <c r="X599" s="1"/>
      <c r="Y599" s="1"/>
      <c r="Z599" s="1"/>
      <c r="AA599" s="1"/>
      <c r="AB599" s="1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1"/>
      <c r="BY599" s="1"/>
      <c r="BZ599" s="1"/>
      <c r="CA599" s="1"/>
      <c r="CB599" s="1"/>
      <c r="CC599" s="1"/>
      <c r="CD599" s="3"/>
      <c r="CE599" s="3"/>
      <c r="CF599" s="1"/>
      <c r="CG599" s="1"/>
      <c r="CH599" s="3"/>
      <c r="CI599" s="3"/>
    </row>
    <row r="600" spans="16:87">
      <c r="P600" s="1"/>
      <c r="Q600" s="2"/>
      <c r="R600" s="2"/>
      <c r="S600" s="2"/>
      <c r="T600" s="2"/>
      <c r="U600" s="2"/>
      <c r="V600" s="1"/>
      <c r="W600" s="1"/>
      <c r="X600" s="1"/>
      <c r="Y600" s="1"/>
      <c r="Z600" s="1"/>
      <c r="AA600" s="1"/>
      <c r="AB600" s="1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1"/>
      <c r="BY600" s="1"/>
      <c r="BZ600" s="1"/>
      <c r="CA600" s="1"/>
      <c r="CB600" s="1"/>
      <c r="CC600" s="1"/>
      <c r="CD600" s="3"/>
      <c r="CE600" s="3"/>
      <c r="CF600" s="1"/>
      <c r="CG600" s="1"/>
      <c r="CH600" s="3"/>
      <c r="CI600" s="3"/>
    </row>
    <row r="601" spans="16:87">
      <c r="P601" s="1"/>
      <c r="Q601" s="2"/>
      <c r="R601" s="2"/>
      <c r="S601" s="2"/>
      <c r="T601" s="2"/>
      <c r="U601" s="2"/>
      <c r="V601" s="1"/>
      <c r="W601" s="1"/>
      <c r="X601" s="1"/>
      <c r="Y601" s="1"/>
      <c r="Z601" s="1"/>
      <c r="AA601" s="1"/>
      <c r="AB601" s="1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1"/>
      <c r="BY601" s="1"/>
      <c r="BZ601" s="1"/>
      <c r="CA601" s="1"/>
      <c r="CB601" s="1"/>
      <c r="CC601" s="1"/>
      <c r="CD601" s="3"/>
      <c r="CE601" s="3"/>
      <c r="CF601" s="1"/>
      <c r="CG601" s="1"/>
      <c r="CH601" s="3"/>
      <c r="CI601" s="3"/>
    </row>
    <row r="602" spans="16:87">
      <c r="P602" s="1"/>
      <c r="Q602" s="2"/>
      <c r="R602" s="2"/>
      <c r="S602" s="2"/>
      <c r="T602" s="2"/>
      <c r="U602" s="2"/>
      <c r="V602" s="1"/>
      <c r="W602" s="1"/>
      <c r="X602" s="1"/>
      <c r="Y602" s="1"/>
      <c r="Z602" s="1"/>
      <c r="AA602" s="1"/>
      <c r="AB602" s="1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1"/>
      <c r="BY602" s="1"/>
      <c r="BZ602" s="1"/>
      <c r="CA602" s="1"/>
      <c r="CB602" s="1"/>
      <c r="CC602" s="1"/>
      <c r="CD602" s="3"/>
      <c r="CE602" s="3"/>
      <c r="CF602" s="1"/>
      <c r="CG602" s="1"/>
      <c r="CH602" s="3"/>
      <c r="CI602" s="3"/>
    </row>
    <row r="603" spans="16:87">
      <c r="P603" s="1"/>
      <c r="Q603" s="2"/>
      <c r="R603" s="2"/>
      <c r="S603" s="2"/>
      <c r="T603" s="2"/>
      <c r="U603" s="2"/>
      <c r="V603" s="1"/>
      <c r="W603" s="1"/>
      <c r="X603" s="1"/>
      <c r="Y603" s="1"/>
      <c r="Z603" s="1"/>
      <c r="AA603" s="1"/>
      <c r="AB603" s="1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1"/>
      <c r="BY603" s="1"/>
      <c r="BZ603" s="1"/>
      <c r="CA603" s="1"/>
      <c r="CB603" s="1"/>
      <c r="CC603" s="1"/>
      <c r="CD603" s="3"/>
      <c r="CE603" s="3"/>
      <c r="CF603" s="1"/>
      <c r="CG603" s="1"/>
      <c r="CH603" s="3"/>
      <c r="CI603" s="3"/>
    </row>
    <row r="604" spans="16:87">
      <c r="P604" s="1"/>
      <c r="Q604" s="2"/>
      <c r="R604" s="2"/>
      <c r="S604" s="2"/>
      <c r="T604" s="2"/>
      <c r="U604" s="2"/>
      <c r="V604" s="1"/>
      <c r="W604" s="1"/>
      <c r="X604" s="1"/>
      <c r="Y604" s="1"/>
      <c r="Z604" s="1"/>
      <c r="AA604" s="1"/>
      <c r="AB604" s="1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1"/>
      <c r="BY604" s="1"/>
      <c r="BZ604" s="1"/>
      <c r="CA604" s="1"/>
      <c r="CB604" s="1"/>
      <c r="CC604" s="1"/>
      <c r="CD604" s="3"/>
      <c r="CE604" s="3"/>
      <c r="CF604" s="1"/>
      <c r="CG604" s="1"/>
      <c r="CH604" s="3"/>
      <c r="CI604" s="3"/>
    </row>
    <row r="605" spans="16:87">
      <c r="P605" s="1"/>
      <c r="Q605" s="2"/>
      <c r="R605" s="2"/>
      <c r="S605" s="2"/>
      <c r="T605" s="2"/>
      <c r="U605" s="2"/>
      <c r="V605" s="1"/>
      <c r="W605" s="1"/>
      <c r="X605" s="1"/>
      <c r="Y605" s="1"/>
      <c r="Z605" s="1"/>
      <c r="AA605" s="1"/>
      <c r="AB605" s="1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1"/>
      <c r="BY605" s="1"/>
      <c r="BZ605" s="1"/>
      <c r="CA605" s="1"/>
      <c r="CB605" s="1"/>
      <c r="CC605" s="1"/>
      <c r="CD605" s="3"/>
      <c r="CE605" s="3"/>
      <c r="CF605" s="1"/>
      <c r="CG605" s="1"/>
      <c r="CH605" s="3"/>
      <c r="CI605" s="3"/>
    </row>
    <row r="606" spans="16:87">
      <c r="P606" s="1"/>
      <c r="Q606" s="2"/>
      <c r="R606" s="2"/>
      <c r="S606" s="2"/>
      <c r="T606" s="2"/>
      <c r="U606" s="2"/>
      <c r="V606" s="1"/>
      <c r="W606" s="1"/>
      <c r="X606" s="1"/>
      <c r="Y606" s="1"/>
      <c r="Z606" s="1"/>
      <c r="AA606" s="1"/>
      <c r="AB606" s="1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1"/>
      <c r="BY606" s="1"/>
      <c r="BZ606" s="1"/>
      <c r="CA606" s="1"/>
      <c r="CB606" s="1"/>
      <c r="CC606" s="1"/>
      <c r="CD606" s="3"/>
      <c r="CE606" s="3"/>
      <c r="CF606" s="1"/>
      <c r="CG606" s="1"/>
      <c r="CH606" s="3"/>
      <c r="CI606" s="3"/>
    </row>
    <row r="607" spans="16:87">
      <c r="P607" s="1"/>
      <c r="Q607" s="2"/>
      <c r="R607" s="2"/>
      <c r="S607" s="2"/>
      <c r="T607" s="2"/>
      <c r="U607" s="2"/>
      <c r="V607" s="1"/>
      <c r="W607" s="1"/>
      <c r="X607" s="1"/>
      <c r="Y607" s="1"/>
      <c r="Z607" s="1"/>
      <c r="AA607" s="1"/>
      <c r="AB607" s="1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1"/>
      <c r="BY607" s="1"/>
      <c r="BZ607" s="1"/>
      <c r="CA607" s="1"/>
      <c r="CB607" s="1"/>
      <c r="CC607" s="1"/>
      <c r="CD607" s="3"/>
      <c r="CE607" s="3"/>
      <c r="CF607" s="1"/>
      <c r="CG607" s="1"/>
      <c r="CH607" s="3"/>
      <c r="CI607" s="3"/>
    </row>
    <row r="608" spans="16:87">
      <c r="P608" s="1"/>
      <c r="Q608" s="2"/>
      <c r="R608" s="2"/>
      <c r="S608" s="2"/>
      <c r="T608" s="2"/>
      <c r="U608" s="2"/>
      <c r="V608" s="1"/>
      <c r="W608" s="1"/>
      <c r="X608" s="1"/>
      <c r="Y608" s="1"/>
      <c r="Z608" s="1"/>
      <c r="AA608" s="1"/>
      <c r="AB608" s="1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1"/>
      <c r="BY608" s="1"/>
      <c r="BZ608" s="1"/>
      <c r="CA608" s="1"/>
      <c r="CB608" s="1"/>
      <c r="CC608" s="1"/>
      <c r="CD608" s="3"/>
      <c r="CE608" s="3"/>
      <c r="CF608" s="1"/>
      <c r="CG608" s="1"/>
      <c r="CH608" s="3"/>
      <c r="CI608" s="3"/>
    </row>
    <row r="609" spans="16:87">
      <c r="P609" s="1"/>
      <c r="Q609" s="2"/>
      <c r="R609" s="2"/>
      <c r="S609" s="2"/>
      <c r="T609" s="2"/>
      <c r="U609" s="2"/>
      <c r="V609" s="1"/>
      <c r="W609" s="1"/>
      <c r="X609" s="1"/>
      <c r="Y609" s="1"/>
      <c r="Z609" s="1"/>
      <c r="AA609" s="1"/>
      <c r="AB609" s="1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1"/>
      <c r="BY609" s="1"/>
      <c r="BZ609" s="1"/>
      <c r="CA609" s="1"/>
      <c r="CB609" s="1"/>
      <c r="CC609" s="1"/>
      <c r="CD609" s="3"/>
      <c r="CE609" s="3"/>
      <c r="CF609" s="1"/>
      <c r="CG609" s="1"/>
      <c r="CH609" s="3"/>
      <c r="CI609" s="3"/>
    </row>
    <row r="610" spans="16:87">
      <c r="P610" s="1"/>
      <c r="Q610" s="2"/>
      <c r="R610" s="2"/>
      <c r="S610" s="2"/>
      <c r="T610" s="2"/>
      <c r="U610" s="2"/>
      <c r="V610" s="1"/>
      <c r="W610" s="1"/>
      <c r="X610" s="1"/>
      <c r="Y610" s="1"/>
      <c r="Z610" s="1"/>
      <c r="AA610" s="1"/>
      <c r="AB610" s="1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1"/>
      <c r="BY610" s="1"/>
      <c r="BZ610" s="1"/>
      <c r="CA610" s="1"/>
      <c r="CB610" s="1"/>
      <c r="CC610" s="1"/>
      <c r="CD610" s="3"/>
      <c r="CE610" s="3"/>
      <c r="CF610" s="1"/>
      <c r="CG610" s="1"/>
      <c r="CH610" s="3"/>
      <c r="CI610" s="3"/>
    </row>
    <row r="611" spans="16:87">
      <c r="P611" s="1"/>
      <c r="Q611" s="2"/>
      <c r="R611" s="2"/>
      <c r="S611" s="2"/>
      <c r="T611" s="2"/>
      <c r="U611" s="2"/>
      <c r="V611" s="1"/>
      <c r="W611" s="1"/>
      <c r="X611" s="1"/>
      <c r="Y611" s="1"/>
      <c r="Z611" s="1"/>
      <c r="AA611" s="1"/>
      <c r="AB611" s="1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1"/>
      <c r="BY611" s="1"/>
      <c r="BZ611" s="1"/>
      <c r="CA611" s="1"/>
      <c r="CB611" s="1"/>
      <c r="CC611" s="1"/>
      <c r="CD611" s="3"/>
      <c r="CE611" s="3"/>
      <c r="CF611" s="1"/>
      <c r="CG611" s="1"/>
      <c r="CH611" s="3"/>
      <c r="CI611" s="3"/>
    </row>
    <row r="612" spans="16:87">
      <c r="P612" s="1"/>
      <c r="Q612" s="2"/>
      <c r="R612" s="2"/>
      <c r="S612" s="2"/>
      <c r="T612" s="2"/>
      <c r="U612" s="2"/>
      <c r="V612" s="1"/>
      <c r="W612" s="1"/>
      <c r="X612" s="1"/>
      <c r="Y612" s="1"/>
      <c r="Z612" s="1"/>
      <c r="AA612" s="1"/>
      <c r="AB612" s="1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1"/>
      <c r="BY612" s="1"/>
      <c r="BZ612" s="1"/>
      <c r="CA612" s="1"/>
      <c r="CB612" s="1"/>
      <c r="CC612" s="1"/>
      <c r="CD612" s="3"/>
      <c r="CE612" s="3"/>
      <c r="CF612" s="1"/>
      <c r="CG612" s="1"/>
      <c r="CH612" s="3"/>
      <c r="CI612" s="3"/>
    </row>
    <row r="613" spans="16:87">
      <c r="P613" s="1"/>
      <c r="Q613" s="2"/>
      <c r="R613" s="2"/>
      <c r="S613" s="2"/>
      <c r="T613" s="2"/>
      <c r="U613" s="2"/>
      <c r="V613" s="1"/>
      <c r="W613" s="1"/>
      <c r="X613" s="1"/>
      <c r="Y613" s="1"/>
      <c r="Z613" s="1"/>
      <c r="AA613" s="1"/>
      <c r="AB613" s="1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1"/>
      <c r="BY613" s="1"/>
      <c r="BZ613" s="1"/>
      <c r="CA613" s="1"/>
      <c r="CB613" s="1"/>
      <c r="CC613" s="1"/>
      <c r="CD613" s="3"/>
      <c r="CE613" s="3"/>
      <c r="CF613" s="1"/>
      <c r="CG613" s="1"/>
      <c r="CH613" s="3"/>
      <c r="CI613" s="3"/>
    </row>
    <row r="614" spans="16:87">
      <c r="P614" s="1"/>
      <c r="Q614" s="2"/>
      <c r="R614" s="2"/>
      <c r="S614" s="2"/>
      <c r="T614" s="2"/>
      <c r="U614" s="2"/>
      <c r="V614" s="1"/>
      <c r="W614" s="1"/>
      <c r="X614" s="1"/>
      <c r="Y614" s="1"/>
      <c r="Z614" s="1"/>
      <c r="AA614" s="1"/>
      <c r="AB614" s="1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1"/>
      <c r="BY614" s="1"/>
      <c r="BZ614" s="1"/>
      <c r="CA614" s="1"/>
      <c r="CB614" s="1"/>
      <c r="CC614" s="1"/>
      <c r="CD614" s="3"/>
      <c r="CE614" s="3"/>
      <c r="CF614" s="1"/>
      <c r="CG614" s="1"/>
      <c r="CH614" s="3"/>
      <c r="CI614" s="3"/>
    </row>
    <row r="615" spans="16:87">
      <c r="P615" s="1"/>
      <c r="Q615" s="2"/>
      <c r="R615" s="2"/>
      <c r="S615" s="2"/>
      <c r="T615" s="2"/>
      <c r="U615" s="2"/>
      <c r="V615" s="1"/>
      <c r="W615" s="1"/>
      <c r="X615" s="1"/>
      <c r="Y615" s="1"/>
      <c r="Z615" s="1"/>
      <c r="AA615" s="1"/>
      <c r="AB615" s="1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1"/>
      <c r="BY615" s="1"/>
      <c r="BZ615" s="1"/>
      <c r="CA615" s="1"/>
      <c r="CB615" s="1"/>
      <c r="CC615" s="1"/>
      <c r="CD615" s="3"/>
      <c r="CE615" s="3"/>
      <c r="CF615" s="1"/>
      <c r="CG615" s="1"/>
      <c r="CH615" s="3"/>
      <c r="CI615" s="3"/>
    </row>
    <row r="616" spans="16:87">
      <c r="P616" s="1"/>
      <c r="Q616" s="2"/>
      <c r="R616" s="2"/>
      <c r="S616" s="2"/>
      <c r="T616" s="2"/>
      <c r="U616" s="2"/>
      <c r="V616" s="1"/>
      <c r="W616" s="1"/>
      <c r="X616" s="1"/>
      <c r="Y616" s="1"/>
      <c r="Z616" s="1"/>
      <c r="AA616" s="1"/>
      <c r="AB616" s="1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1"/>
      <c r="BY616" s="1"/>
      <c r="BZ616" s="1"/>
      <c r="CA616" s="1"/>
      <c r="CB616" s="1"/>
      <c r="CC616" s="1"/>
      <c r="CD616" s="3"/>
      <c r="CE616" s="3"/>
      <c r="CF616" s="1"/>
      <c r="CG616" s="1"/>
      <c r="CH616" s="3"/>
      <c r="CI616" s="3"/>
    </row>
    <row r="617" spans="16:87">
      <c r="P617" s="1"/>
      <c r="Q617" s="2"/>
      <c r="R617" s="2"/>
      <c r="S617" s="2"/>
      <c r="T617" s="2"/>
      <c r="U617" s="2"/>
      <c r="V617" s="1"/>
      <c r="W617" s="1"/>
      <c r="X617" s="1"/>
      <c r="Y617" s="1"/>
      <c r="Z617" s="1"/>
      <c r="AA617" s="1"/>
      <c r="AB617" s="1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1"/>
      <c r="BY617" s="1"/>
      <c r="BZ617" s="1"/>
      <c r="CA617" s="1"/>
      <c r="CB617" s="1"/>
      <c r="CC617" s="1"/>
      <c r="CD617" s="3"/>
      <c r="CE617" s="3"/>
      <c r="CF617" s="1"/>
      <c r="CG617" s="1"/>
      <c r="CH617" s="3"/>
      <c r="CI617" s="3"/>
    </row>
    <row r="618" spans="16:87">
      <c r="P618" s="1"/>
      <c r="Q618" s="2"/>
      <c r="R618" s="2"/>
      <c r="S618" s="2"/>
      <c r="T618" s="2"/>
      <c r="U618" s="2"/>
      <c r="V618" s="1"/>
      <c r="W618" s="1"/>
      <c r="X618" s="1"/>
      <c r="Y618" s="1"/>
      <c r="Z618" s="1"/>
      <c r="AA618" s="1"/>
      <c r="AB618" s="1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1"/>
      <c r="BY618" s="1"/>
      <c r="BZ618" s="1"/>
      <c r="CA618" s="1"/>
      <c r="CB618" s="1"/>
      <c r="CC618" s="1"/>
      <c r="CD618" s="3"/>
      <c r="CE618" s="3"/>
      <c r="CF618" s="1"/>
      <c r="CG618" s="1"/>
      <c r="CH618" s="3"/>
      <c r="CI618" s="3"/>
    </row>
    <row r="619" spans="16:87">
      <c r="P619" s="1"/>
      <c r="Q619" s="2"/>
      <c r="R619" s="2"/>
      <c r="S619" s="2"/>
      <c r="T619" s="2"/>
      <c r="U619" s="2"/>
      <c r="V619" s="1"/>
      <c r="W619" s="1"/>
      <c r="X619" s="1"/>
      <c r="Y619" s="1"/>
      <c r="Z619" s="1"/>
      <c r="AA619" s="1"/>
      <c r="AB619" s="1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1"/>
      <c r="BY619" s="1"/>
      <c r="BZ619" s="1"/>
      <c r="CA619" s="1"/>
      <c r="CB619" s="1"/>
      <c r="CC619" s="1"/>
      <c r="CD619" s="3"/>
      <c r="CE619" s="3"/>
      <c r="CF619" s="1"/>
      <c r="CG619" s="1"/>
      <c r="CH619" s="3"/>
      <c r="CI619" s="3"/>
    </row>
    <row r="620" spans="16:87">
      <c r="P620" s="1"/>
      <c r="Q620" s="2"/>
      <c r="R620" s="2"/>
      <c r="S620" s="2"/>
      <c r="T620" s="2"/>
      <c r="U620" s="2"/>
      <c r="V620" s="1"/>
      <c r="W620" s="1"/>
      <c r="X620" s="1"/>
      <c r="Y620" s="1"/>
      <c r="Z620" s="1"/>
      <c r="AA620" s="1"/>
      <c r="AB620" s="1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1"/>
      <c r="BY620" s="1"/>
      <c r="BZ620" s="1"/>
      <c r="CA620" s="1"/>
      <c r="CB620" s="1"/>
      <c r="CC620" s="1"/>
      <c r="CD620" s="3"/>
      <c r="CE620" s="3"/>
      <c r="CF620" s="1"/>
      <c r="CG620" s="1"/>
      <c r="CH620" s="3"/>
      <c r="CI620" s="3"/>
    </row>
    <row r="621" spans="16:87">
      <c r="P621" s="1"/>
      <c r="Q621" s="2"/>
      <c r="R621" s="2"/>
      <c r="S621" s="2"/>
      <c r="T621" s="2"/>
      <c r="U621" s="2"/>
      <c r="V621" s="1"/>
      <c r="W621" s="1"/>
      <c r="X621" s="1"/>
      <c r="Y621" s="1"/>
      <c r="Z621" s="1"/>
      <c r="AA621" s="1"/>
      <c r="AB621" s="1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1"/>
      <c r="BY621" s="1"/>
      <c r="BZ621" s="1"/>
      <c r="CA621" s="1"/>
      <c r="CB621" s="1"/>
      <c r="CC621" s="1"/>
      <c r="CD621" s="3"/>
      <c r="CE621" s="3"/>
      <c r="CF621" s="1"/>
      <c r="CG621" s="1"/>
      <c r="CH621" s="3"/>
      <c r="CI621" s="3"/>
    </row>
    <row r="622" spans="16:87">
      <c r="P622" s="1"/>
      <c r="Q622" s="2"/>
      <c r="R622" s="2"/>
      <c r="S622" s="2"/>
      <c r="T622" s="2"/>
      <c r="U622" s="2"/>
      <c r="V622" s="1"/>
      <c r="W622" s="1"/>
      <c r="X622" s="1"/>
      <c r="Y622" s="1"/>
      <c r="Z622" s="1"/>
      <c r="AA622" s="1"/>
      <c r="AB622" s="1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1"/>
      <c r="BY622" s="1"/>
      <c r="BZ622" s="1"/>
      <c r="CA622" s="1"/>
      <c r="CB622" s="1"/>
      <c r="CC622" s="1"/>
      <c r="CD622" s="3"/>
      <c r="CE622" s="3"/>
      <c r="CF622" s="1"/>
      <c r="CG622" s="1"/>
      <c r="CH622" s="3"/>
      <c r="CI622" s="3"/>
    </row>
    <row r="623" spans="16:87">
      <c r="P623" s="1"/>
      <c r="Q623" s="2"/>
      <c r="R623" s="2"/>
      <c r="S623" s="2"/>
      <c r="T623" s="2"/>
      <c r="U623" s="2"/>
      <c r="V623" s="1"/>
      <c r="W623" s="1"/>
      <c r="X623" s="1"/>
      <c r="Y623" s="1"/>
      <c r="Z623" s="1"/>
      <c r="AA623" s="1"/>
      <c r="AB623" s="1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1"/>
      <c r="BY623" s="1"/>
      <c r="BZ623" s="1"/>
      <c r="CA623" s="1"/>
      <c r="CB623" s="1"/>
      <c r="CC623" s="1"/>
      <c r="CD623" s="3"/>
      <c r="CE623" s="3"/>
      <c r="CF623" s="1"/>
      <c r="CG623" s="1"/>
      <c r="CH623" s="3"/>
      <c r="CI623" s="3"/>
    </row>
    <row r="624" spans="16:87">
      <c r="P624" s="1"/>
      <c r="Q624" s="2"/>
      <c r="R624" s="2"/>
      <c r="S624" s="2"/>
      <c r="T624" s="2"/>
      <c r="U624" s="2"/>
      <c r="V624" s="1"/>
      <c r="W624" s="1"/>
      <c r="X624" s="1"/>
      <c r="Y624" s="1"/>
      <c r="Z624" s="1"/>
      <c r="AA624" s="1"/>
      <c r="AB624" s="1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1"/>
      <c r="BY624" s="1"/>
      <c r="BZ624" s="1"/>
      <c r="CA624" s="1"/>
      <c r="CB624" s="1"/>
      <c r="CC624" s="1"/>
      <c r="CD624" s="3"/>
      <c r="CE624" s="3"/>
      <c r="CF624" s="1"/>
      <c r="CG624" s="1"/>
      <c r="CH624" s="3"/>
      <c r="CI624" s="3"/>
    </row>
    <row r="625" spans="16:87">
      <c r="P625" s="1"/>
      <c r="Q625" s="2"/>
      <c r="R625" s="2"/>
      <c r="S625" s="2"/>
      <c r="T625" s="2"/>
      <c r="U625" s="2"/>
      <c r="V625" s="1"/>
      <c r="W625" s="1"/>
      <c r="X625" s="1"/>
      <c r="Y625" s="1"/>
      <c r="Z625" s="1"/>
      <c r="AA625" s="1"/>
      <c r="AB625" s="1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1"/>
      <c r="BY625" s="1"/>
      <c r="BZ625" s="1"/>
      <c r="CA625" s="1"/>
      <c r="CB625" s="1"/>
      <c r="CC625" s="1"/>
      <c r="CD625" s="3"/>
      <c r="CE625" s="3"/>
      <c r="CF625" s="1"/>
      <c r="CG625" s="1"/>
      <c r="CH625" s="3"/>
      <c r="CI625" s="3"/>
    </row>
    <row r="626" spans="16:87">
      <c r="P626" s="1"/>
      <c r="Q626" s="2"/>
      <c r="R626" s="2"/>
      <c r="S626" s="2"/>
      <c r="T626" s="2"/>
      <c r="U626" s="2"/>
      <c r="V626" s="1"/>
      <c r="W626" s="1"/>
      <c r="X626" s="1"/>
      <c r="Y626" s="1"/>
      <c r="Z626" s="1"/>
      <c r="AA626" s="1"/>
      <c r="AB626" s="1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1"/>
      <c r="BY626" s="1"/>
      <c r="BZ626" s="1"/>
      <c r="CA626" s="1"/>
      <c r="CB626" s="1"/>
      <c r="CC626" s="1"/>
      <c r="CD626" s="3"/>
      <c r="CE626" s="3"/>
      <c r="CF626" s="1"/>
      <c r="CG626" s="1"/>
      <c r="CH626" s="3"/>
      <c r="CI626" s="3"/>
    </row>
    <row r="627" spans="16:87">
      <c r="P627" s="1"/>
      <c r="Q627" s="2"/>
      <c r="R627" s="2"/>
      <c r="S627" s="2"/>
      <c r="T627" s="2"/>
      <c r="U627" s="2"/>
      <c r="V627" s="1"/>
      <c r="W627" s="1"/>
      <c r="X627" s="1"/>
      <c r="Y627" s="1"/>
      <c r="Z627" s="1"/>
      <c r="AA627" s="1"/>
      <c r="AB627" s="1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1"/>
      <c r="BY627" s="1"/>
      <c r="BZ627" s="1"/>
      <c r="CA627" s="1"/>
      <c r="CB627" s="1"/>
      <c r="CC627" s="1"/>
      <c r="CD627" s="3"/>
      <c r="CE627" s="3"/>
      <c r="CF627" s="1"/>
      <c r="CG627" s="1"/>
      <c r="CH627" s="3"/>
      <c r="CI627" s="3"/>
    </row>
    <row r="628" spans="16:87">
      <c r="P628" s="1"/>
      <c r="Q628" s="2"/>
      <c r="R628" s="2"/>
      <c r="S628" s="2"/>
      <c r="T628" s="2"/>
      <c r="U628" s="2"/>
      <c r="V628" s="1"/>
      <c r="W628" s="1"/>
      <c r="X628" s="1"/>
      <c r="Y628" s="1"/>
      <c r="Z628" s="1"/>
      <c r="AA628" s="1"/>
      <c r="AB628" s="1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1"/>
      <c r="BY628" s="1"/>
      <c r="BZ628" s="1"/>
      <c r="CA628" s="1"/>
      <c r="CB628" s="1"/>
      <c r="CC628" s="1"/>
      <c r="CD628" s="3"/>
      <c r="CE628" s="3"/>
      <c r="CF628" s="1"/>
      <c r="CG628" s="1"/>
      <c r="CH628" s="3"/>
      <c r="CI628" s="3"/>
    </row>
    <row r="629" spans="16:87">
      <c r="P629" s="1"/>
      <c r="Q629" s="2"/>
      <c r="R629" s="2"/>
      <c r="S629" s="2"/>
      <c r="T629" s="2"/>
      <c r="U629" s="2"/>
      <c r="V629" s="1"/>
      <c r="W629" s="1"/>
      <c r="X629" s="1"/>
      <c r="Y629" s="1"/>
      <c r="Z629" s="1"/>
      <c r="AA629" s="1"/>
      <c r="AB629" s="1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1"/>
      <c r="BY629" s="1"/>
      <c r="BZ629" s="1"/>
      <c r="CA629" s="1"/>
      <c r="CB629" s="1"/>
      <c r="CC629" s="1"/>
      <c r="CD629" s="3"/>
      <c r="CE629" s="3"/>
      <c r="CF629" s="1"/>
      <c r="CG629" s="1"/>
      <c r="CH629" s="3"/>
      <c r="CI629" s="3"/>
    </row>
    <row r="630" spans="16:87">
      <c r="P630" s="1"/>
      <c r="Q630" s="2"/>
      <c r="R630" s="2"/>
      <c r="S630" s="2"/>
      <c r="T630" s="2"/>
      <c r="U630" s="2"/>
      <c r="V630" s="1"/>
      <c r="W630" s="1"/>
      <c r="X630" s="1"/>
      <c r="Y630" s="1"/>
      <c r="Z630" s="1"/>
      <c r="AA630" s="1"/>
      <c r="AB630" s="1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1"/>
      <c r="BY630" s="1"/>
      <c r="BZ630" s="1"/>
      <c r="CA630" s="1"/>
      <c r="CB630" s="1"/>
      <c r="CC630" s="1"/>
      <c r="CD630" s="3"/>
      <c r="CE630" s="3"/>
      <c r="CF630" s="1"/>
      <c r="CG630" s="1"/>
      <c r="CH630" s="3"/>
      <c r="CI630" s="3"/>
    </row>
    <row r="631" spans="16:87">
      <c r="P631" s="1"/>
      <c r="Q631" s="2"/>
      <c r="R631" s="2"/>
      <c r="S631" s="2"/>
      <c r="T631" s="2"/>
      <c r="U631" s="2"/>
      <c r="V631" s="1"/>
      <c r="W631" s="1"/>
      <c r="X631" s="1"/>
      <c r="Y631" s="1"/>
      <c r="Z631" s="1"/>
      <c r="AA631" s="1"/>
      <c r="AB631" s="1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1"/>
      <c r="BY631" s="1"/>
      <c r="BZ631" s="1"/>
      <c r="CA631" s="1"/>
      <c r="CB631" s="1"/>
      <c r="CC631" s="1"/>
      <c r="CD631" s="3"/>
      <c r="CE631" s="3"/>
      <c r="CF631" s="1"/>
      <c r="CG631" s="1"/>
      <c r="CH631" s="3"/>
      <c r="CI631" s="3"/>
    </row>
    <row r="632" spans="16:87">
      <c r="P632" s="1"/>
      <c r="Q632" s="2"/>
      <c r="R632" s="2"/>
      <c r="S632" s="2"/>
      <c r="T632" s="2"/>
      <c r="U632" s="2"/>
      <c r="V632" s="1"/>
      <c r="W632" s="1"/>
      <c r="X632" s="1"/>
      <c r="Y632" s="1"/>
      <c r="Z632" s="1"/>
      <c r="AA632" s="1"/>
      <c r="AB632" s="1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1"/>
      <c r="BY632" s="1"/>
      <c r="BZ632" s="1"/>
      <c r="CA632" s="1"/>
      <c r="CB632" s="1"/>
      <c r="CC632" s="1"/>
      <c r="CD632" s="3"/>
      <c r="CE632" s="3"/>
      <c r="CF632" s="1"/>
      <c r="CG632" s="1"/>
      <c r="CH632" s="3"/>
      <c r="CI632" s="3"/>
    </row>
    <row r="633" spans="16:87">
      <c r="P633" s="1"/>
      <c r="Q633" s="2"/>
      <c r="R633" s="2"/>
      <c r="S633" s="2"/>
      <c r="T633" s="2"/>
      <c r="U633" s="2"/>
      <c r="V633" s="1"/>
      <c r="W633" s="1"/>
      <c r="X633" s="1"/>
      <c r="Y633" s="1"/>
      <c r="Z633" s="1"/>
      <c r="AA633" s="1"/>
      <c r="AB633" s="1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1"/>
      <c r="BY633" s="1"/>
      <c r="BZ633" s="1"/>
      <c r="CA633" s="1"/>
      <c r="CB633" s="1"/>
      <c r="CC633" s="1"/>
      <c r="CD633" s="3"/>
      <c r="CE633" s="3"/>
      <c r="CF633" s="1"/>
      <c r="CG633" s="1"/>
      <c r="CH633" s="3"/>
      <c r="CI633" s="3"/>
    </row>
    <row r="634" spans="16:87">
      <c r="P634" s="1"/>
      <c r="Q634" s="2"/>
      <c r="R634" s="2"/>
      <c r="S634" s="2"/>
      <c r="T634" s="2"/>
      <c r="U634" s="2"/>
      <c r="V634" s="1"/>
      <c r="W634" s="1"/>
      <c r="X634" s="1"/>
      <c r="Y634" s="1"/>
      <c r="Z634" s="1"/>
      <c r="AA634" s="1"/>
      <c r="AB634" s="1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1"/>
      <c r="BY634" s="1"/>
      <c r="BZ634" s="1"/>
      <c r="CA634" s="1"/>
      <c r="CB634" s="1"/>
      <c r="CC634" s="1"/>
      <c r="CD634" s="3"/>
      <c r="CE634" s="3"/>
      <c r="CF634" s="1"/>
      <c r="CG634" s="1"/>
      <c r="CH634" s="3"/>
      <c r="CI634" s="3"/>
    </row>
    <row r="635" spans="16:87">
      <c r="P635" s="1"/>
      <c r="Q635" s="2"/>
      <c r="R635" s="2"/>
      <c r="S635" s="2"/>
      <c r="T635" s="2"/>
      <c r="U635" s="2"/>
      <c r="V635" s="1"/>
      <c r="W635" s="1"/>
      <c r="X635" s="1"/>
      <c r="Y635" s="1"/>
      <c r="Z635" s="1"/>
      <c r="AA635" s="1"/>
      <c r="AB635" s="1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1"/>
      <c r="BY635" s="1"/>
      <c r="BZ635" s="1"/>
      <c r="CA635" s="1"/>
      <c r="CB635" s="1"/>
      <c r="CC635" s="1"/>
      <c r="CD635" s="3"/>
      <c r="CE635" s="3"/>
      <c r="CF635" s="1"/>
      <c r="CG635" s="1"/>
      <c r="CH635" s="3"/>
      <c r="CI635" s="3"/>
    </row>
    <row r="636" spans="16:87">
      <c r="P636" s="1"/>
      <c r="Q636" s="2"/>
      <c r="R636" s="2"/>
      <c r="S636" s="2"/>
      <c r="T636" s="2"/>
      <c r="U636" s="2"/>
      <c r="V636" s="1"/>
      <c r="W636" s="1"/>
      <c r="X636" s="1"/>
      <c r="Y636" s="1"/>
      <c r="Z636" s="1"/>
      <c r="AA636" s="1"/>
      <c r="AB636" s="1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1"/>
      <c r="BY636" s="1"/>
      <c r="BZ636" s="1"/>
      <c r="CA636" s="1"/>
      <c r="CB636" s="1"/>
      <c r="CC636" s="1"/>
      <c r="CD636" s="3"/>
      <c r="CE636" s="3"/>
      <c r="CF636" s="1"/>
      <c r="CG636" s="1"/>
      <c r="CH636" s="3"/>
      <c r="CI636" s="3"/>
    </row>
    <row r="637" spans="16:87">
      <c r="P637" s="1"/>
      <c r="Q637" s="2"/>
      <c r="R637" s="2"/>
      <c r="S637" s="2"/>
      <c r="T637" s="2"/>
      <c r="U637" s="2"/>
      <c r="V637" s="1"/>
      <c r="W637" s="1"/>
      <c r="X637" s="1"/>
      <c r="Y637" s="1"/>
      <c r="Z637" s="1"/>
      <c r="AA637" s="1"/>
      <c r="AB637" s="1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1"/>
      <c r="BY637" s="1"/>
      <c r="BZ637" s="1"/>
      <c r="CA637" s="1"/>
      <c r="CB637" s="1"/>
      <c r="CC637" s="1"/>
      <c r="CD637" s="3"/>
      <c r="CE637" s="3"/>
      <c r="CF637" s="1"/>
      <c r="CG637" s="1"/>
      <c r="CH637" s="3"/>
      <c r="CI637" s="3"/>
    </row>
    <row r="638" spans="16:87">
      <c r="P638" s="1"/>
      <c r="Q638" s="2"/>
      <c r="R638" s="2"/>
      <c r="S638" s="2"/>
      <c r="T638" s="2"/>
      <c r="U638" s="2"/>
      <c r="V638" s="1"/>
      <c r="W638" s="1"/>
      <c r="X638" s="1"/>
      <c r="Y638" s="1"/>
      <c r="Z638" s="1"/>
      <c r="AA638" s="1"/>
      <c r="AB638" s="1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1"/>
      <c r="BY638" s="1"/>
      <c r="BZ638" s="1"/>
      <c r="CA638" s="1"/>
      <c r="CB638" s="1"/>
      <c r="CC638" s="1"/>
      <c r="CD638" s="3"/>
      <c r="CE638" s="3"/>
      <c r="CF638" s="1"/>
      <c r="CG638" s="1"/>
      <c r="CH638" s="3"/>
      <c r="CI638" s="3"/>
    </row>
    <row r="639" spans="16:87">
      <c r="P639" s="1"/>
      <c r="Q639" s="2"/>
      <c r="R639" s="2"/>
      <c r="S639" s="2"/>
      <c r="T639" s="2"/>
      <c r="U639" s="2"/>
      <c r="V639" s="1"/>
      <c r="W639" s="1"/>
      <c r="X639" s="1"/>
      <c r="Y639" s="1"/>
      <c r="Z639" s="1"/>
      <c r="AA639" s="1"/>
      <c r="AB639" s="1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1"/>
      <c r="BY639" s="1"/>
      <c r="BZ639" s="1"/>
      <c r="CA639" s="1"/>
      <c r="CB639" s="1"/>
      <c r="CC639" s="1"/>
      <c r="CD639" s="3"/>
      <c r="CE639" s="3"/>
      <c r="CF639" s="1"/>
      <c r="CG639" s="1"/>
      <c r="CH639" s="3"/>
      <c r="CI639" s="3"/>
    </row>
    <row r="640" spans="16:87">
      <c r="P640" s="1"/>
      <c r="Q640" s="2"/>
      <c r="R640" s="2"/>
      <c r="S640" s="2"/>
      <c r="T640" s="2"/>
      <c r="U640" s="2"/>
      <c r="V640" s="1"/>
      <c r="W640" s="1"/>
      <c r="X640" s="1"/>
      <c r="Y640" s="1"/>
      <c r="Z640" s="1"/>
      <c r="AA640" s="1"/>
      <c r="AB640" s="1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1"/>
      <c r="BY640" s="1"/>
      <c r="BZ640" s="1"/>
      <c r="CA640" s="1"/>
      <c r="CB640" s="1"/>
      <c r="CC640" s="1"/>
      <c r="CD640" s="3"/>
      <c r="CE640" s="3"/>
      <c r="CF640" s="1"/>
      <c r="CG640" s="1"/>
      <c r="CH640" s="3"/>
      <c r="CI640" s="3"/>
    </row>
    <row r="641" spans="16:87">
      <c r="P641" s="1"/>
      <c r="Q641" s="2"/>
      <c r="R641" s="2"/>
      <c r="S641" s="2"/>
      <c r="T641" s="2"/>
      <c r="U641" s="2"/>
      <c r="V641" s="1"/>
      <c r="W641" s="1"/>
      <c r="X641" s="1"/>
      <c r="Y641" s="1"/>
      <c r="Z641" s="1"/>
      <c r="AA641" s="1"/>
      <c r="AB641" s="1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1"/>
      <c r="BY641" s="1"/>
      <c r="BZ641" s="1"/>
      <c r="CA641" s="1"/>
      <c r="CB641" s="1"/>
      <c r="CC641" s="1"/>
      <c r="CD641" s="3"/>
      <c r="CE641" s="3"/>
      <c r="CF641" s="1"/>
      <c r="CG641" s="1"/>
      <c r="CH641" s="3"/>
      <c r="CI641" s="3"/>
    </row>
    <row r="642" spans="16:87">
      <c r="P642" s="1"/>
      <c r="Q642" s="2"/>
      <c r="R642" s="2"/>
      <c r="S642" s="2"/>
      <c r="T642" s="2"/>
      <c r="U642" s="2"/>
      <c r="V642" s="1"/>
      <c r="W642" s="1"/>
      <c r="X642" s="1"/>
      <c r="Y642" s="1"/>
      <c r="Z642" s="1"/>
      <c r="AA642" s="1"/>
      <c r="AB642" s="1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1"/>
      <c r="BY642" s="1"/>
      <c r="BZ642" s="1"/>
      <c r="CA642" s="1"/>
      <c r="CB642" s="1"/>
      <c r="CC642" s="1"/>
      <c r="CD642" s="3"/>
      <c r="CE642" s="3"/>
      <c r="CF642" s="1"/>
      <c r="CG642" s="1"/>
      <c r="CH642" s="3"/>
      <c r="CI642" s="3"/>
    </row>
    <row r="643" spans="16:87">
      <c r="P643" s="1"/>
      <c r="Q643" s="2"/>
      <c r="R643" s="2"/>
      <c r="S643" s="2"/>
      <c r="T643" s="2"/>
      <c r="U643" s="2"/>
      <c r="V643" s="1"/>
      <c r="W643" s="1"/>
      <c r="X643" s="1"/>
      <c r="Y643" s="1"/>
      <c r="Z643" s="1"/>
      <c r="AA643" s="1"/>
      <c r="AB643" s="1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1"/>
      <c r="BY643" s="1"/>
      <c r="BZ643" s="1"/>
      <c r="CA643" s="1"/>
      <c r="CB643" s="1"/>
      <c r="CC643" s="1"/>
      <c r="CD643" s="3"/>
      <c r="CE643" s="3"/>
      <c r="CF643" s="1"/>
      <c r="CG643" s="1"/>
      <c r="CH643" s="3"/>
      <c r="CI643" s="3"/>
    </row>
    <row r="644" spans="16:87">
      <c r="P644" s="1"/>
      <c r="Q644" s="2"/>
      <c r="R644" s="2"/>
      <c r="S644" s="2"/>
      <c r="T644" s="2"/>
      <c r="U644" s="2"/>
      <c r="V644" s="1"/>
      <c r="W644" s="1"/>
      <c r="X644" s="1"/>
      <c r="Y644" s="1"/>
      <c r="Z644" s="1"/>
      <c r="AA644" s="1"/>
      <c r="AB644" s="1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1"/>
      <c r="BY644" s="1"/>
      <c r="BZ644" s="1"/>
      <c r="CA644" s="1"/>
      <c r="CB644" s="1"/>
      <c r="CC644" s="1"/>
      <c r="CD644" s="3"/>
      <c r="CE644" s="3"/>
      <c r="CF644" s="1"/>
      <c r="CG644" s="1"/>
      <c r="CH644" s="3"/>
      <c r="CI644" s="3"/>
    </row>
    <row r="645" spans="16:87">
      <c r="P645" s="1"/>
      <c r="Q645" s="2"/>
      <c r="R645" s="2"/>
      <c r="S645" s="2"/>
      <c r="T645" s="2"/>
      <c r="U645" s="2"/>
      <c r="V645" s="1"/>
      <c r="W645" s="1"/>
      <c r="X645" s="1"/>
      <c r="Y645" s="1"/>
      <c r="Z645" s="1"/>
      <c r="AA645" s="1"/>
      <c r="AB645" s="1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1"/>
      <c r="BY645" s="1"/>
      <c r="BZ645" s="1"/>
      <c r="CA645" s="1"/>
      <c r="CB645" s="1"/>
      <c r="CC645" s="1"/>
      <c r="CD645" s="3"/>
      <c r="CE645" s="3"/>
      <c r="CF645" s="1"/>
      <c r="CG645" s="1"/>
      <c r="CH645" s="3"/>
      <c r="CI645" s="3"/>
    </row>
    <row r="646" spans="16:87">
      <c r="P646" s="1"/>
      <c r="Q646" s="2"/>
      <c r="R646" s="2"/>
      <c r="S646" s="2"/>
      <c r="T646" s="2"/>
      <c r="U646" s="2"/>
      <c r="V646" s="1"/>
      <c r="W646" s="1"/>
      <c r="X646" s="1"/>
      <c r="Y646" s="1"/>
      <c r="Z646" s="1"/>
      <c r="AA646" s="1"/>
      <c r="AB646" s="1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1"/>
      <c r="BY646" s="1"/>
      <c r="BZ646" s="1"/>
      <c r="CA646" s="1"/>
      <c r="CB646" s="1"/>
      <c r="CC646" s="1"/>
      <c r="CD646" s="3"/>
      <c r="CE646" s="3"/>
      <c r="CF646" s="1"/>
      <c r="CG646" s="1"/>
      <c r="CH646" s="3"/>
      <c r="CI646" s="3"/>
    </row>
    <row r="647" spans="16:87">
      <c r="P647" s="1"/>
      <c r="Q647" s="2"/>
      <c r="R647" s="2"/>
      <c r="S647" s="2"/>
      <c r="T647" s="2"/>
      <c r="U647" s="2"/>
      <c r="V647" s="1"/>
      <c r="W647" s="1"/>
      <c r="X647" s="1"/>
      <c r="Y647" s="1"/>
      <c r="Z647" s="1"/>
      <c r="AA647" s="1"/>
      <c r="AB647" s="1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1"/>
      <c r="BY647" s="1"/>
      <c r="BZ647" s="1"/>
      <c r="CA647" s="1"/>
      <c r="CB647" s="1"/>
      <c r="CC647" s="1"/>
      <c r="CD647" s="3"/>
      <c r="CE647" s="3"/>
      <c r="CF647" s="1"/>
      <c r="CG647" s="1"/>
      <c r="CH647" s="3"/>
      <c r="CI647" s="3"/>
    </row>
    <row r="648" spans="16:87">
      <c r="P648" s="1"/>
      <c r="Q648" s="2"/>
      <c r="R648" s="2"/>
      <c r="S648" s="2"/>
      <c r="T648" s="2"/>
      <c r="U648" s="2"/>
      <c r="V648" s="1"/>
      <c r="W648" s="1"/>
      <c r="X648" s="1"/>
      <c r="Y648" s="1"/>
      <c r="Z648" s="1"/>
      <c r="AA648" s="1"/>
      <c r="AB648" s="1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1"/>
      <c r="BY648" s="1"/>
      <c r="BZ648" s="1"/>
      <c r="CA648" s="1"/>
      <c r="CB648" s="1"/>
      <c r="CC648" s="1"/>
      <c r="CD648" s="3"/>
      <c r="CE648" s="3"/>
      <c r="CF648" s="1"/>
      <c r="CG648" s="1"/>
      <c r="CH648" s="3"/>
      <c r="CI648" s="3"/>
    </row>
    <row r="649" spans="16:87">
      <c r="P649" s="1"/>
      <c r="Q649" s="2"/>
      <c r="R649" s="2"/>
      <c r="S649" s="2"/>
      <c r="T649" s="2"/>
      <c r="U649" s="2"/>
      <c r="V649" s="1"/>
      <c r="W649" s="1"/>
      <c r="X649" s="1"/>
      <c r="Y649" s="1"/>
      <c r="Z649" s="1"/>
      <c r="AA649" s="1"/>
      <c r="AB649" s="1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1"/>
      <c r="BY649" s="1"/>
      <c r="BZ649" s="1"/>
      <c r="CA649" s="1"/>
      <c r="CB649" s="1"/>
      <c r="CC649" s="1"/>
      <c r="CD649" s="3"/>
      <c r="CE649" s="3"/>
      <c r="CF649" s="1"/>
      <c r="CG649" s="1"/>
      <c r="CH649" s="3"/>
      <c r="CI649" s="3"/>
    </row>
    <row r="650" spans="16:87">
      <c r="P650" s="1"/>
      <c r="Q650" s="2"/>
      <c r="R650" s="2"/>
      <c r="S650" s="2"/>
      <c r="T650" s="2"/>
      <c r="U650" s="2"/>
      <c r="V650" s="1"/>
      <c r="W650" s="1"/>
      <c r="X650" s="1"/>
      <c r="Y650" s="1"/>
      <c r="Z650" s="1"/>
      <c r="AA650" s="1"/>
      <c r="AB650" s="1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1"/>
      <c r="BY650" s="1"/>
      <c r="BZ650" s="1"/>
      <c r="CA650" s="1"/>
      <c r="CB650" s="1"/>
      <c r="CC650" s="1"/>
      <c r="CD650" s="3"/>
      <c r="CE650" s="3"/>
      <c r="CF650" s="1"/>
      <c r="CG650" s="1"/>
      <c r="CH650" s="3"/>
      <c r="CI650" s="3"/>
    </row>
    <row r="651" spans="16:87">
      <c r="P651" s="1"/>
      <c r="Q651" s="2"/>
      <c r="R651" s="2"/>
      <c r="S651" s="2"/>
      <c r="T651" s="2"/>
      <c r="U651" s="2"/>
      <c r="V651" s="1"/>
      <c r="W651" s="1"/>
      <c r="X651" s="1"/>
      <c r="Y651" s="1"/>
      <c r="Z651" s="1"/>
      <c r="AA651" s="1"/>
      <c r="AB651" s="1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1"/>
      <c r="BY651" s="1"/>
      <c r="BZ651" s="1"/>
      <c r="CA651" s="1"/>
      <c r="CB651" s="1"/>
      <c r="CC651" s="1"/>
      <c r="CD651" s="3"/>
      <c r="CE651" s="3"/>
      <c r="CF651" s="1"/>
      <c r="CG651" s="1"/>
      <c r="CH651" s="3"/>
      <c r="CI651" s="3"/>
    </row>
    <row r="652" spans="16:87">
      <c r="P652" s="1"/>
      <c r="Q652" s="2"/>
      <c r="R652" s="2"/>
      <c r="S652" s="2"/>
      <c r="T652" s="2"/>
      <c r="U652" s="2"/>
      <c r="V652" s="1"/>
      <c r="W652" s="1"/>
      <c r="X652" s="1"/>
      <c r="Y652" s="1"/>
      <c r="Z652" s="1"/>
      <c r="AA652" s="1"/>
      <c r="AB652" s="1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1"/>
      <c r="BY652" s="1"/>
      <c r="BZ652" s="1"/>
      <c r="CA652" s="1"/>
      <c r="CB652" s="1"/>
      <c r="CC652" s="1"/>
      <c r="CD652" s="3"/>
      <c r="CE652" s="3"/>
      <c r="CF652" s="1"/>
      <c r="CG652" s="1"/>
      <c r="CH652" s="3"/>
      <c r="CI652" s="3"/>
    </row>
    <row r="653" spans="16:87">
      <c r="P653" s="1"/>
      <c r="Q653" s="2"/>
      <c r="R653" s="2"/>
      <c r="S653" s="2"/>
      <c r="T653" s="2"/>
      <c r="U653" s="2"/>
      <c r="V653" s="1"/>
      <c r="W653" s="1"/>
      <c r="X653" s="1"/>
      <c r="Y653" s="1"/>
      <c r="Z653" s="1"/>
      <c r="AA653" s="1"/>
      <c r="AB653" s="1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1"/>
      <c r="BY653" s="1"/>
      <c r="BZ653" s="1"/>
      <c r="CA653" s="1"/>
      <c r="CB653" s="1"/>
      <c r="CC653" s="1"/>
      <c r="CD653" s="3"/>
      <c r="CE653" s="3"/>
      <c r="CF653" s="1"/>
      <c r="CG653" s="1"/>
      <c r="CH653" s="3"/>
      <c r="CI653" s="3"/>
    </row>
    <row r="654" spans="16:87">
      <c r="P654" s="1"/>
      <c r="Q654" s="2"/>
      <c r="R654" s="2"/>
      <c r="S654" s="2"/>
      <c r="T654" s="2"/>
      <c r="U654" s="2"/>
      <c r="V654" s="1"/>
      <c r="W654" s="1"/>
      <c r="X654" s="1"/>
      <c r="Y654" s="1"/>
      <c r="Z654" s="1"/>
      <c r="AA654" s="1"/>
      <c r="AB654" s="1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1"/>
      <c r="BY654" s="1"/>
      <c r="BZ654" s="1"/>
      <c r="CA654" s="1"/>
      <c r="CB654" s="1"/>
      <c r="CC654" s="1"/>
      <c r="CD654" s="3"/>
      <c r="CE654" s="3"/>
      <c r="CF654" s="1"/>
      <c r="CG654" s="1"/>
      <c r="CH654" s="3"/>
      <c r="CI654" s="3"/>
    </row>
    <row r="655" spans="16:87">
      <c r="P655" s="1"/>
      <c r="Q655" s="2"/>
      <c r="R655" s="2"/>
      <c r="S655" s="2"/>
      <c r="T655" s="2"/>
      <c r="U655" s="2"/>
      <c r="V655" s="1"/>
      <c r="W655" s="1"/>
      <c r="X655" s="1"/>
      <c r="Y655" s="1"/>
      <c r="Z655" s="1"/>
      <c r="AA655" s="1"/>
      <c r="AB655" s="1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1"/>
      <c r="BY655" s="1"/>
      <c r="BZ655" s="1"/>
      <c r="CA655" s="1"/>
      <c r="CB655" s="1"/>
      <c r="CC655" s="1"/>
      <c r="CD655" s="3"/>
      <c r="CE655" s="3"/>
      <c r="CF655" s="1"/>
      <c r="CG655" s="1"/>
      <c r="CH655" s="3"/>
      <c r="CI655" s="3"/>
    </row>
    <row r="656" spans="16:87">
      <c r="P656" s="1"/>
      <c r="Q656" s="2"/>
      <c r="R656" s="2"/>
      <c r="S656" s="2"/>
      <c r="T656" s="2"/>
      <c r="U656" s="2"/>
      <c r="V656" s="1"/>
      <c r="W656" s="1"/>
      <c r="X656" s="1"/>
      <c r="Y656" s="1"/>
      <c r="Z656" s="1"/>
      <c r="AA656" s="1"/>
      <c r="AB656" s="1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1"/>
      <c r="BY656" s="1"/>
      <c r="BZ656" s="1"/>
      <c r="CA656" s="1"/>
      <c r="CB656" s="1"/>
      <c r="CC656" s="1"/>
      <c r="CD656" s="3"/>
      <c r="CE656" s="3"/>
      <c r="CF656" s="1"/>
      <c r="CG656" s="1"/>
      <c r="CH656" s="3"/>
      <c r="CI656" s="3"/>
    </row>
    <row r="657" spans="16:87">
      <c r="P657" s="1"/>
      <c r="Q657" s="2"/>
      <c r="R657" s="2"/>
      <c r="S657" s="2"/>
      <c r="T657" s="2"/>
      <c r="U657" s="2"/>
      <c r="V657" s="1"/>
      <c r="W657" s="1"/>
      <c r="X657" s="1"/>
      <c r="Y657" s="1"/>
      <c r="Z657" s="1"/>
      <c r="AA657" s="1"/>
      <c r="AB657" s="1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1"/>
      <c r="BY657" s="1"/>
      <c r="BZ657" s="1"/>
      <c r="CA657" s="1"/>
      <c r="CB657" s="1"/>
      <c r="CC657" s="1"/>
      <c r="CD657" s="3"/>
      <c r="CE657" s="3"/>
      <c r="CF657" s="1"/>
      <c r="CG657" s="1"/>
      <c r="CH657" s="3"/>
      <c r="CI657" s="3"/>
    </row>
    <row r="658" spans="16:87">
      <c r="P658" s="1"/>
      <c r="Q658" s="2"/>
      <c r="R658" s="2"/>
      <c r="S658" s="2"/>
      <c r="T658" s="2"/>
      <c r="U658" s="2"/>
      <c r="V658" s="1"/>
      <c r="W658" s="1"/>
      <c r="X658" s="1"/>
      <c r="Y658" s="1"/>
      <c r="Z658" s="1"/>
      <c r="AA658" s="1"/>
      <c r="AB658" s="1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1"/>
      <c r="BY658" s="1"/>
      <c r="BZ658" s="1"/>
      <c r="CA658" s="1"/>
      <c r="CB658" s="1"/>
      <c r="CC658" s="1"/>
      <c r="CD658" s="3"/>
      <c r="CE658" s="3"/>
      <c r="CF658" s="1"/>
      <c r="CG658" s="1"/>
      <c r="CH658" s="3"/>
      <c r="CI658" s="3"/>
    </row>
    <row r="659" spans="16:87">
      <c r="P659" s="1"/>
      <c r="Q659" s="2"/>
      <c r="R659" s="2"/>
      <c r="S659" s="2"/>
      <c r="T659" s="2"/>
      <c r="U659" s="2"/>
      <c r="V659" s="1"/>
      <c r="W659" s="1"/>
      <c r="X659" s="1"/>
      <c r="Y659" s="1"/>
      <c r="Z659" s="1"/>
      <c r="AA659" s="1"/>
      <c r="AB659" s="1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1"/>
      <c r="BY659" s="1"/>
      <c r="BZ659" s="1"/>
      <c r="CA659" s="1"/>
      <c r="CB659" s="1"/>
      <c r="CC659" s="1"/>
      <c r="CD659" s="3"/>
      <c r="CE659" s="3"/>
      <c r="CF659" s="1"/>
      <c r="CG659" s="1"/>
      <c r="CH659" s="3"/>
      <c r="CI659" s="3"/>
    </row>
    <row r="660" spans="16:87">
      <c r="P660" s="1"/>
      <c r="Q660" s="2"/>
      <c r="R660" s="2"/>
      <c r="S660" s="2"/>
      <c r="T660" s="2"/>
      <c r="U660" s="2"/>
      <c r="V660" s="1"/>
      <c r="W660" s="1"/>
      <c r="X660" s="1"/>
      <c r="Y660" s="1"/>
      <c r="Z660" s="1"/>
      <c r="AA660" s="1"/>
      <c r="AB660" s="1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1"/>
      <c r="BY660" s="1"/>
      <c r="BZ660" s="1"/>
      <c r="CA660" s="1"/>
      <c r="CB660" s="1"/>
      <c r="CC660" s="1"/>
      <c r="CD660" s="3"/>
      <c r="CE660" s="3"/>
      <c r="CF660" s="1"/>
      <c r="CG660" s="1"/>
      <c r="CH660" s="3"/>
      <c r="CI660" s="3"/>
    </row>
    <row r="661" spans="16:87">
      <c r="P661" s="1"/>
      <c r="Q661" s="2"/>
      <c r="R661" s="2"/>
      <c r="S661" s="2"/>
      <c r="T661" s="2"/>
      <c r="U661" s="2"/>
      <c r="V661" s="1"/>
      <c r="W661" s="1"/>
      <c r="X661" s="1"/>
      <c r="Y661" s="1"/>
      <c r="Z661" s="1"/>
      <c r="AA661" s="1"/>
      <c r="AB661" s="1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1"/>
      <c r="BY661" s="1"/>
      <c r="BZ661" s="1"/>
      <c r="CA661" s="1"/>
      <c r="CB661" s="1"/>
      <c r="CC661" s="1"/>
      <c r="CD661" s="3"/>
      <c r="CE661" s="3"/>
      <c r="CF661" s="1"/>
      <c r="CG661" s="1"/>
      <c r="CH661" s="3"/>
      <c r="CI661" s="3"/>
    </row>
    <row r="662" spans="16:87">
      <c r="P662" s="1"/>
      <c r="Q662" s="2"/>
      <c r="R662" s="2"/>
      <c r="S662" s="2"/>
      <c r="T662" s="2"/>
      <c r="U662" s="2"/>
      <c r="V662" s="1"/>
      <c r="W662" s="1"/>
      <c r="X662" s="1"/>
      <c r="Y662" s="1"/>
      <c r="Z662" s="1"/>
      <c r="AA662" s="1"/>
      <c r="AB662" s="1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1"/>
      <c r="BY662" s="1"/>
      <c r="BZ662" s="1"/>
      <c r="CA662" s="1"/>
      <c r="CB662" s="1"/>
      <c r="CC662" s="1"/>
      <c r="CD662" s="3"/>
      <c r="CE662" s="3"/>
      <c r="CF662" s="1"/>
      <c r="CG662" s="1"/>
      <c r="CH662" s="3"/>
      <c r="CI662" s="3"/>
    </row>
    <row r="663" spans="16:87">
      <c r="P663" s="1"/>
      <c r="Q663" s="2"/>
      <c r="R663" s="2"/>
      <c r="S663" s="2"/>
      <c r="T663" s="2"/>
      <c r="U663" s="2"/>
      <c r="V663" s="1"/>
      <c r="W663" s="1"/>
      <c r="X663" s="1"/>
      <c r="Y663" s="1"/>
      <c r="Z663" s="1"/>
      <c r="AA663" s="1"/>
      <c r="AB663" s="1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1"/>
      <c r="BY663" s="1"/>
      <c r="BZ663" s="1"/>
      <c r="CA663" s="1"/>
      <c r="CB663" s="1"/>
      <c r="CC663" s="1"/>
      <c r="CD663" s="3"/>
      <c r="CE663" s="3"/>
      <c r="CF663" s="1"/>
      <c r="CG663" s="1"/>
      <c r="CH663" s="3"/>
      <c r="CI663" s="3"/>
    </row>
    <row r="664" spans="16:87">
      <c r="P664" s="1"/>
      <c r="Q664" s="2"/>
      <c r="R664" s="2"/>
      <c r="S664" s="2"/>
      <c r="T664" s="2"/>
      <c r="U664" s="2"/>
      <c r="V664" s="1"/>
      <c r="W664" s="1"/>
      <c r="X664" s="1"/>
      <c r="Y664" s="1"/>
      <c r="Z664" s="1"/>
      <c r="AA664" s="1"/>
      <c r="AB664" s="1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1"/>
      <c r="BY664" s="1"/>
      <c r="BZ664" s="1"/>
      <c r="CA664" s="1"/>
      <c r="CB664" s="1"/>
      <c r="CC664" s="1"/>
      <c r="CD664" s="3"/>
      <c r="CE664" s="3"/>
      <c r="CF664" s="1"/>
      <c r="CG664" s="1"/>
      <c r="CH664" s="3"/>
      <c r="CI664" s="3"/>
    </row>
    <row r="665" spans="16:87">
      <c r="P665" s="1"/>
      <c r="Q665" s="2"/>
      <c r="R665" s="2"/>
      <c r="S665" s="2"/>
      <c r="T665" s="2"/>
      <c r="U665" s="2"/>
      <c r="V665" s="1"/>
      <c r="W665" s="1"/>
      <c r="X665" s="1"/>
      <c r="Y665" s="1"/>
      <c r="Z665" s="1"/>
      <c r="AA665" s="1"/>
      <c r="AB665" s="1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1"/>
      <c r="BY665" s="1"/>
      <c r="BZ665" s="1"/>
      <c r="CA665" s="1"/>
      <c r="CB665" s="1"/>
      <c r="CC665" s="1"/>
      <c r="CD665" s="3"/>
      <c r="CE665" s="3"/>
      <c r="CF665" s="1"/>
      <c r="CG665" s="1"/>
      <c r="CH665" s="3"/>
      <c r="CI665" s="3"/>
    </row>
    <row r="666" spans="16:87">
      <c r="P666" s="1"/>
      <c r="Q666" s="2"/>
      <c r="R666" s="2"/>
      <c r="S666" s="2"/>
      <c r="T666" s="2"/>
      <c r="U666" s="2"/>
      <c r="V666" s="1"/>
      <c r="W666" s="1"/>
      <c r="X666" s="1"/>
      <c r="Y666" s="1"/>
      <c r="Z666" s="1"/>
      <c r="AA666" s="1"/>
      <c r="AB666" s="1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1"/>
      <c r="BY666" s="1"/>
      <c r="BZ666" s="1"/>
      <c r="CA666" s="1"/>
      <c r="CB666" s="1"/>
      <c r="CC666" s="1"/>
      <c r="CD666" s="3"/>
      <c r="CE666" s="3"/>
      <c r="CF666" s="1"/>
      <c r="CG666" s="1"/>
      <c r="CH666" s="3"/>
      <c r="CI666" s="3"/>
    </row>
    <row r="667" spans="16:87">
      <c r="P667" s="1"/>
      <c r="Q667" s="2"/>
      <c r="R667" s="2"/>
      <c r="S667" s="2"/>
      <c r="T667" s="2"/>
      <c r="U667" s="2"/>
      <c r="V667" s="1"/>
      <c r="W667" s="1"/>
      <c r="X667" s="1"/>
      <c r="Y667" s="1"/>
      <c r="Z667" s="1"/>
      <c r="AA667" s="1"/>
      <c r="AB667" s="1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1"/>
      <c r="BY667" s="1"/>
      <c r="BZ667" s="1"/>
      <c r="CA667" s="1"/>
      <c r="CB667" s="1"/>
      <c r="CC667" s="1"/>
      <c r="CD667" s="3"/>
      <c r="CE667" s="3"/>
      <c r="CF667" s="1"/>
      <c r="CG667" s="1"/>
      <c r="CH667" s="3"/>
      <c r="CI667" s="3"/>
    </row>
    <row r="668" spans="16:87">
      <c r="P668" s="1"/>
      <c r="Q668" s="2"/>
      <c r="R668" s="2"/>
      <c r="S668" s="2"/>
      <c r="T668" s="2"/>
      <c r="U668" s="2"/>
      <c r="V668" s="1"/>
      <c r="W668" s="1"/>
      <c r="X668" s="1"/>
      <c r="Y668" s="1"/>
      <c r="Z668" s="1"/>
      <c r="AA668" s="1"/>
      <c r="AB668" s="1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1"/>
      <c r="BY668" s="1"/>
      <c r="BZ668" s="1"/>
      <c r="CA668" s="1"/>
      <c r="CB668" s="1"/>
      <c r="CC668" s="1"/>
      <c r="CD668" s="3"/>
      <c r="CE668" s="3"/>
      <c r="CF668" s="1"/>
      <c r="CG668" s="1"/>
      <c r="CH668" s="3"/>
      <c r="CI668" s="3"/>
    </row>
    <row r="669" spans="16:87">
      <c r="P669" s="1"/>
      <c r="Q669" s="2"/>
      <c r="R669" s="2"/>
      <c r="S669" s="2"/>
      <c r="T669" s="2"/>
      <c r="U669" s="2"/>
      <c r="V669" s="1"/>
      <c r="W669" s="1"/>
      <c r="X669" s="1"/>
      <c r="Y669" s="1"/>
      <c r="Z669" s="1"/>
      <c r="AA669" s="1"/>
      <c r="AB669" s="1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1"/>
      <c r="BY669" s="1"/>
      <c r="BZ669" s="1"/>
      <c r="CA669" s="1"/>
      <c r="CB669" s="1"/>
      <c r="CC669" s="1"/>
      <c r="CD669" s="3"/>
      <c r="CE669" s="3"/>
      <c r="CF669" s="1"/>
      <c r="CG669" s="1"/>
      <c r="CH669" s="3"/>
      <c r="CI669" s="3"/>
    </row>
    <row r="670" spans="16:87">
      <c r="P670" s="1"/>
      <c r="Q670" s="2"/>
      <c r="R670" s="2"/>
      <c r="S670" s="2"/>
      <c r="T670" s="2"/>
      <c r="U670" s="2"/>
      <c r="V670" s="1"/>
      <c r="W670" s="1"/>
      <c r="X670" s="1"/>
      <c r="Y670" s="1"/>
      <c r="Z670" s="1"/>
      <c r="AA670" s="1"/>
      <c r="AB670" s="1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1"/>
      <c r="BY670" s="1"/>
      <c r="BZ670" s="1"/>
      <c r="CA670" s="1"/>
      <c r="CB670" s="1"/>
      <c r="CC670" s="1"/>
      <c r="CD670" s="3"/>
      <c r="CE670" s="3"/>
      <c r="CF670" s="1"/>
      <c r="CG670" s="1"/>
      <c r="CH670" s="3"/>
      <c r="CI670" s="3"/>
    </row>
    <row r="671" spans="16:87">
      <c r="P671" s="1"/>
      <c r="Q671" s="2"/>
      <c r="R671" s="2"/>
      <c r="S671" s="2"/>
      <c r="T671" s="2"/>
      <c r="U671" s="2"/>
      <c r="V671" s="1"/>
      <c r="W671" s="1"/>
      <c r="X671" s="1"/>
      <c r="Y671" s="1"/>
      <c r="Z671" s="1"/>
      <c r="AA671" s="1"/>
      <c r="AB671" s="1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1"/>
      <c r="BY671" s="1"/>
      <c r="BZ671" s="1"/>
      <c r="CA671" s="1"/>
      <c r="CB671" s="1"/>
      <c r="CC671" s="1"/>
      <c r="CD671" s="3"/>
      <c r="CE671" s="3"/>
      <c r="CF671" s="1"/>
      <c r="CG671" s="1"/>
      <c r="CH671" s="3"/>
      <c r="CI671" s="3"/>
    </row>
    <row r="672" spans="16:87">
      <c r="P672" s="1"/>
      <c r="Q672" s="2"/>
      <c r="R672" s="2"/>
      <c r="S672" s="2"/>
      <c r="T672" s="2"/>
      <c r="U672" s="2"/>
      <c r="V672" s="1"/>
      <c r="W672" s="1"/>
      <c r="X672" s="1"/>
      <c r="Y672" s="1"/>
      <c r="Z672" s="1"/>
      <c r="AA672" s="1"/>
      <c r="AB672" s="1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1"/>
      <c r="BY672" s="1"/>
      <c r="BZ672" s="1"/>
      <c r="CA672" s="1"/>
      <c r="CB672" s="1"/>
      <c r="CC672" s="1"/>
      <c r="CD672" s="3"/>
      <c r="CE672" s="3"/>
      <c r="CF672" s="1"/>
      <c r="CG672" s="1"/>
      <c r="CH672" s="3"/>
      <c r="CI672" s="3"/>
    </row>
    <row r="673" spans="16:87">
      <c r="P673" s="1"/>
      <c r="Q673" s="2"/>
      <c r="R673" s="2"/>
      <c r="S673" s="2"/>
      <c r="T673" s="2"/>
      <c r="U673" s="2"/>
      <c r="V673" s="1"/>
      <c r="W673" s="1"/>
      <c r="X673" s="1"/>
      <c r="Y673" s="1"/>
      <c r="Z673" s="1"/>
      <c r="AA673" s="1"/>
      <c r="AB673" s="1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1"/>
      <c r="BY673" s="1"/>
      <c r="BZ673" s="1"/>
      <c r="CA673" s="1"/>
      <c r="CB673" s="1"/>
      <c r="CC673" s="1"/>
      <c r="CD673" s="3"/>
      <c r="CE673" s="3"/>
      <c r="CF673" s="1"/>
      <c r="CG673" s="1"/>
      <c r="CH673" s="3"/>
      <c r="CI673" s="3"/>
    </row>
    <row r="674" spans="16:87">
      <c r="P674" s="1"/>
      <c r="Q674" s="2"/>
      <c r="R674" s="2"/>
      <c r="S674" s="2"/>
      <c r="T674" s="2"/>
      <c r="U674" s="2"/>
      <c r="V674" s="1"/>
      <c r="W674" s="1"/>
      <c r="X674" s="1"/>
      <c r="Y674" s="1"/>
      <c r="Z674" s="1"/>
      <c r="AA674" s="1"/>
      <c r="AB674" s="1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1"/>
      <c r="BY674" s="1"/>
      <c r="BZ674" s="1"/>
      <c r="CA674" s="1"/>
      <c r="CB674" s="1"/>
      <c r="CC674" s="1"/>
      <c r="CD674" s="3"/>
      <c r="CE674" s="3"/>
      <c r="CF674" s="1"/>
      <c r="CG674" s="1"/>
      <c r="CH674" s="3"/>
      <c r="CI674" s="3"/>
    </row>
    <row r="675" spans="16:87">
      <c r="P675" s="1"/>
      <c r="Q675" s="2"/>
      <c r="R675" s="2"/>
      <c r="S675" s="2"/>
      <c r="T675" s="2"/>
      <c r="U675" s="2"/>
      <c r="V675" s="1"/>
      <c r="W675" s="1"/>
      <c r="X675" s="1"/>
      <c r="Y675" s="1"/>
      <c r="Z675" s="1"/>
      <c r="AA675" s="1"/>
      <c r="AB675" s="1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1"/>
      <c r="BY675" s="1"/>
      <c r="BZ675" s="1"/>
      <c r="CA675" s="1"/>
      <c r="CB675" s="1"/>
      <c r="CC675" s="1"/>
      <c r="CD675" s="3"/>
      <c r="CE675" s="3"/>
      <c r="CF675" s="1"/>
      <c r="CG675" s="1"/>
      <c r="CH675" s="3"/>
      <c r="CI675" s="3"/>
    </row>
    <row r="676" spans="16:87">
      <c r="P676" s="1"/>
      <c r="Q676" s="2"/>
      <c r="R676" s="2"/>
      <c r="S676" s="2"/>
      <c r="T676" s="2"/>
      <c r="U676" s="2"/>
      <c r="V676" s="1"/>
      <c r="W676" s="1"/>
      <c r="X676" s="1"/>
      <c r="Y676" s="1"/>
      <c r="Z676" s="1"/>
      <c r="AA676" s="1"/>
      <c r="AB676" s="1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1"/>
      <c r="BY676" s="1"/>
      <c r="BZ676" s="1"/>
      <c r="CA676" s="1"/>
      <c r="CB676" s="1"/>
      <c r="CC676" s="1"/>
      <c r="CD676" s="3"/>
      <c r="CE676" s="3"/>
      <c r="CF676" s="1"/>
      <c r="CG676" s="1"/>
      <c r="CH676" s="3"/>
      <c r="CI676" s="3"/>
    </row>
    <row r="677" spans="16:87">
      <c r="P677" s="1"/>
      <c r="Q677" s="2"/>
      <c r="R677" s="2"/>
      <c r="S677" s="2"/>
      <c r="T677" s="2"/>
      <c r="U677" s="2"/>
      <c r="V677" s="1"/>
      <c r="W677" s="1"/>
      <c r="X677" s="1"/>
      <c r="Y677" s="1"/>
      <c r="Z677" s="1"/>
      <c r="AA677" s="1"/>
      <c r="AB677" s="1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1"/>
      <c r="BY677" s="1"/>
      <c r="BZ677" s="1"/>
      <c r="CA677" s="1"/>
      <c r="CB677" s="1"/>
      <c r="CC677" s="1"/>
      <c r="CD677" s="3"/>
      <c r="CE677" s="3"/>
      <c r="CF677" s="1"/>
      <c r="CG677" s="1"/>
      <c r="CH677" s="3"/>
      <c r="CI677" s="3"/>
    </row>
    <row r="678" spans="16:87">
      <c r="P678" s="1"/>
      <c r="Q678" s="2"/>
      <c r="R678" s="2"/>
      <c r="S678" s="2"/>
      <c r="T678" s="2"/>
      <c r="U678" s="2"/>
      <c r="V678" s="1"/>
      <c r="W678" s="1"/>
      <c r="X678" s="1"/>
      <c r="Y678" s="1"/>
      <c r="Z678" s="1"/>
      <c r="AA678" s="1"/>
      <c r="AB678" s="1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1"/>
      <c r="BY678" s="1"/>
      <c r="BZ678" s="1"/>
      <c r="CA678" s="1"/>
      <c r="CB678" s="1"/>
      <c r="CC678" s="1"/>
      <c r="CD678" s="3"/>
      <c r="CE678" s="3"/>
      <c r="CF678" s="1"/>
      <c r="CG678" s="1"/>
      <c r="CH678" s="3"/>
      <c r="CI678" s="3"/>
    </row>
    <row r="679" spans="16:87">
      <c r="P679" s="1"/>
      <c r="Q679" s="2"/>
      <c r="R679" s="2"/>
      <c r="S679" s="2"/>
      <c r="T679" s="2"/>
      <c r="U679" s="2"/>
      <c r="V679" s="1"/>
      <c r="W679" s="1"/>
      <c r="X679" s="1"/>
      <c r="Y679" s="1"/>
      <c r="Z679" s="1"/>
      <c r="AA679" s="1"/>
      <c r="AB679" s="1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1"/>
      <c r="BY679" s="1"/>
      <c r="BZ679" s="1"/>
      <c r="CA679" s="1"/>
      <c r="CB679" s="1"/>
      <c r="CC679" s="1"/>
      <c r="CD679" s="3"/>
      <c r="CE679" s="3"/>
      <c r="CF679" s="1"/>
      <c r="CG679" s="1"/>
      <c r="CH679" s="3"/>
      <c r="CI679" s="3"/>
    </row>
    <row r="680" spans="16:87">
      <c r="P680" s="1"/>
      <c r="Q680" s="2"/>
      <c r="R680" s="2"/>
      <c r="S680" s="2"/>
      <c r="T680" s="2"/>
      <c r="U680" s="2"/>
      <c r="V680" s="1"/>
      <c r="W680" s="1"/>
      <c r="X680" s="1"/>
      <c r="Y680" s="1"/>
      <c r="Z680" s="1"/>
      <c r="AA680" s="1"/>
      <c r="AB680" s="1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1"/>
      <c r="BY680" s="1"/>
      <c r="BZ680" s="1"/>
      <c r="CA680" s="1"/>
      <c r="CB680" s="1"/>
      <c r="CC680" s="1"/>
      <c r="CD680" s="3"/>
      <c r="CE680" s="3"/>
      <c r="CF680" s="1"/>
      <c r="CG680" s="1"/>
      <c r="CH680" s="3"/>
      <c r="CI680" s="3"/>
    </row>
    <row r="681" spans="16:87">
      <c r="P681" s="1"/>
      <c r="Q681" s="2"/>
      <c r="R681" s="2"/>
      <c r="S681" s="2"/>
      <c r="T681" s="2"/>
      <c r="U681" s="2"/>
      <c r="V681" s="1"/>
      <c r="W681" s="1"/>
      <c r="X681" s="1"/>
      <c r="Y681" s="1"/>
      <c r="Z681" s="1"/>
      <c r="AA681" s="1"/>
      <c r="AB681" s="1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1"/>
      <c r="BY681" s="1"/>
      <c r="BZ681" s="1"/>
      <c r="CA681" s="1"/>
      <c r="CB681" s="1"/>
      <c r="CC681" s="1"/>
      <c r="CD681" s="3"/>
      <c r="CE681" s="3"/>
      <c r="CF681" s="1"/>
      <c r="CG681" s="1"/>
      <c r="CH681" s="3"/>
      <c r="CI681" s="3"/>
    </row>
    <row r="682" spans="16:87">
      <c r="P682" s="1"/>
      <c r="Q682" s="2"/>
      <c r="R682" s="2"/>
      <c r="S682" s="2"/>
      <c r="T682" s="2"/>
      <c r="U682" s="2"/>
      <c r="V682" s="1"/>
      <c r="W682" s="1"/>
      <c r="X682" s="1"/>
      <c r="Y682" s="1"/>
      <c r="Z682" s="1"/>
      <c r="AA682" s="1"/>
      <c r="AB682" s="1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1"/>
      <c r="BY682" s="1"/>
      <c r="BZ682" s="1"/>
      <c r="CA682" s="1"/>
      <c r="CB682" s="1"/>
      <c r="CC682" s="1"/>
      <c r="CD682" s="3"/>
      <c r="CE682" s="3"/>
      <c r="CF682" s="1"/>
      <c r="CG682" s="1"/>
      <c r="CH682" s="3"/>
      <c r="CI682" s="3"/>
    </row>
    <row r="683" spans="16:87">
      <c r="P683" s="1"/>
      <c r="Q683" s="2"/>
      <c r="R683" s="2"/>
      <c r="S683" s="2"/>
      <c r="T683" s="2"/>
      <c r="U683" s="2"/>
      <c r="V683" s="1"/>
      <c r="W683" s="1"/>
      <c r="X683" s="1"/>
      <c r="Y683" s="1"/>
      <c r="Z683" s="1"/>
      <c r="AA683" s="1"/>
      <c r="AB683" s="1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1"/>
      <c r="BY683" s="1"/>
      <c r="BZ683" s="1"/>
      <c r="CA683" s="1"/>
      <c r="CB683" s="1"/>
      <c r="CC683" s="1"/>
      <c r="CD683" s="3"/>
      <c r="CE683" s="3"/>
      <c r="CF683" s="1"/>
      <c r="CG683" s="1"/>
      <c r="CH683" s="3"/>
      <c r="CI683" s="3"/>
    </row>
    <row r="684" spans="16:87">
      <c r="P684" s="1"/>
      <c r="Q684" s="2"/>
      <c r="R684" s="2"/>
      <c r="S684" s="2"/>
      <c r="T684" s="2"/>
      <c r="U684" s="2"/>
      <c r="V684" s="1"/>
      <c r="W684" s="1"/>
      <c r="X684" s="1"/>
      <c r="Y684" s="1"/>
      <c r="Z684" s="1"/>
      <c r="AA684" s="1"/>
      <c r="AB684" s="1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1"/>
      <c r="BY684" s="1"/>
      <c r="BZ684" s="1"/>
      <c r="CA684" s="1"/>
      <c r="CB684" s="1"/>
      <c r="CC684" s="1"/>
      <c r="CD684" s="3"/>
      <c r="CE684" s="3"/>
      <c r="CF684" s="1"/>
      <c r="CG684" s="1"/>
      <c r="CH684" s="3"/>
      <c r="CI684" s="3"/>
    </row>
    <row r="685" spans="16:87">
      <c r="P685" s="1"/>
      <c r="Q685" s="2"/>
      <c r="R685" s="2"/>
      <c r="S685" s="2"/>
      <c r="T685" s="2"/>
      <c r="U685" s="2"/>
      <c r="V685" s="1"/>
      <c r="W685" s="1"/>
      <c r="X685" s="1"/>
      <c r="Y685" s="1"/>
      <c r="Z685" s="1"/>
      <c r="AA685" s="1"/>
      <c r="AB685" s="1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1"/>
      <c r="BY685" s="1"/>
      <c r="BZ685" s="1"/>
      <c r="CA685" s="1"/>
      <c r="CB685" s="1"/>
      <c r="CC685" s="1"/>
      <c r="CD685" s="3"/>
      <c r="CE685" s="3"/>
      <c r="CF685" s="1"/>
      <c r="CG685" s="1"/>
      <c r="CH685" s="3"/>
      <c r="CI685" s="3"/>
    </row>
    <row r="686" spans="16:87">
      <c r="P686" s="1"/>
      <c r="Q686" s="2"/>
      <c r="R686" s="2"/>
      <c r="S686" s="2"/>
      <c r="T686" s="2"/>
      <c r="U686" s="2"/>
      <c r="V686" s="1"/>
      <c r="W686" s="1"/>
      <c r="X686" s="1"/>
      <c r="Y686" s="1"/>
      <c r="Z686" s="1"/>
      <c r="AA686" s="1"/>
      <c r="AB686" s="1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1"/>
      <c r="BY686" s="1"/>
      <c r="BZ686" s="1"/>
      <c r="CA686" s="1"/>
      <c r="CB686" s="1"/>
      <c r="CC686" s="1"/>
      <c r="CD686" s="3"/>
      <c r="CE686" s="3"/>
      <c r="CF686" s="1"/>
      <c r="CG686" s="1"/>
      <c r="CH686" s="3"/>
      <c r="CI686" s="3"/>
    </row>
    <row r="687" spans="16:87">
      <c r="P687" s="1"/>
      <c r="Q687" s="2"/>
      <c r="R687" s="2"/>
      <c r="S687" s="2"/>
      <c r="T687" s="2"/>
      <c r="U687" s="2"/>
      <c r="V687" s="1"/>
      <c r="W687" s="1"/>
      <c r="X687" s="1"/>
      <c r="Y687" s="1"/>
      <c r="Z687" s="1"/>
      <c r="AA687" s="1"/>
      <c r="AB687" s="1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1"/>
      <c r="BY687" s="1"/>
      <c r="BZ687" s="1"/>
      <c r="CA687" s="1"/>
      <c r="CB687" s="1"/>
      <c r="CC687" s="1"/>
      <c r="CD687" s="3"/>
      <c r="CE687" s="3"/>
      <c r="CF687" s="1"/>
      <c r="CG687" s="1"/>
      <c r="CH687" s="3"/>
      <c r="CI687" s="3"/>
    </row>
    <row r="688" spans="16:87">
      <c r="P688" s="1"/>
      <c r="Q688" s="2"/>
      <c r="R688" s="2"/>
      <c r="S688" s="2"/>
      <c r="T688" s="2"/>
      <c r="U688" s="2"/>
      <c r="V688" s="1"/>
      <c r="W688" s="1"/>
      <c r="X688" s="1"/>
      <c r="Y688" s="1"/>
      <c r="Z688" s="1"/>
      <c r="AA688" s="1"/>
      <c r="AB688" s="1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1"/>
      <c r="BY688" s="1"/>
      <c r="BZ688" s="1"/>
      <c r="CA688" s="1"/>
      <c r="CB688" s="1"/>
      <c r="CC688" s="1"/>
      <c r="CD688" s="3"/>
      <c r="CE688" s="3"/>
      <c r="CF688" s="1"/>
      <c r="CG688" s="1"/>
      <c r="CH688" s="3"/>
      <c r="CI688" s="3"/>
    </row>
    <row r="689" spans="16:87">
      <c r="P689" s="1"/>
      <c r="Q689" s="2"/>
      <c r="R689" s="2"/>
      <c r="S689" s="2"/>
      <c r="T689" s="2"/>
      <c r="U689" s="2"/>
      <c r="V689" s="1"/>
      <c r="W689" s="1"/>
      <c r="X689" s="1"/>
      <c r="Y689" s="1"/>
      <c r="Z689" s="1"/>
      <c r="AA689" s="1"/>
      <c r="AB689" s="1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1"/>
      <c r="BY689" s="1"/>
      <c r="BZ689" s="1"/>
      <c r="CA689" s="1"/>
      <c r="CB689" s="1"/>
      <c r="CC689" s="1"/>
      <c r="CD689" s="3"/>
      <c r="CE689" s="3"/>
      <c r="CF689" s="1"/>
      <c r="CG689" s="1"/>
      <c r="CH689" s="3"/>
      <c r="CI689" s="3"/>
    </row>
    <row r="690" spans="16:87">
      <c r="P690" s="1"/>
      <c r="Q690" s="2"/>
      <c r="R690" s="2"/>
      <c r="S690" s="2"/>
      <c r="T690" s="2"/>
      <c r="U690" s="2"/>
      <c r="V690" s="1"/>
      <c r="W690" s="1"/>
      <c r="X690" s="1"/>
      <c r="Y690" s="1"/>
      <c r="Z690" s="1"/>
      <c r="AA690" s="1"/>
      <c r="AB690" s="1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1"/>
      <c r="BY690" s="1"/>
      <c r="BZ690" s="1"/>
      <c r="CA690" s="1"/>
      <c r="CB690" s="1"/>
      <c r="CC690" s="1"/>
      <c r="CD690" s="3"/>
      <c r="CE690" s="3"/>
      <c r="CF690" s="1"/>
      <c r="CG690" s="1"/>
      <c r="CH690" s="3"/>
      <c r="CI690" s="3"/>
    </row>
    <row r="691" spans="16:87">
      <c r="P691" s="1"/>
      <c r="Q691" s="2"/>
      <c r="R691" s="2"/>
      <c r="S691" s="2"/>
      <c r="T691" s="2"/>
      <c r="U691" s="2"/>
      <c r="V691" s="1"/>
      <c r="W691" s="1"/>
      <c r="X691" s="1"/>
      <c r="Y691" s="1"/>
      <c r="Z691" s="1"/>
      <c r="AA691" s="1"/>
      <c r="AB691" s="1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1"/>
      <c r="BY691" s="1"/>
      <c r="BZ691" s="1"/>
      <c r="CA691" s="1"/>
      <c r="CB691" s="1"/>
      <c r="CC691" s="1"/>
      <c r="CD691" s="3"/>
      <c r="CE691" s="3"/>
      <c r="CF691" s="1"/>
      <c r="CG691" s="1"/>
      <c r="CH691" s="3"/>
      <c r="CI691" s="3"/>
    </row>
    <row r="692" spans="16:87">
      <c r="P692" s="1"/>
      <c r="Q692" s="2"/>
      <c r="R692" s="2"/>
      <c r="S692" s="2"/>
      <c r="T692" s="2"/>
      <c r="U692" s="2"/>
      <c r="V692" s="1"/>
      <c r="W692" s="1"/>
      <c r="X692" s="1"/>
      <c r="Y692" s="1"/>
      <c r="Z692" s="1"/>
      <c r="AA692" s="1"/>
      <c r="AB692" s="1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1"/>
      <c r="BY692" s="1"/>
      <c r="BZ692" s="1"/>
      <c r="CA692" s="1"/>
      <c r="CB692" s="1"/>
      <c r="CC692" s="1"/>
      <c r="CD692" s="3"/>
      <c r="CE692" s="3"/>
      <c r="CF692" s="1"/>
      <c r="CG692" s="1"/>
      <c r="CH692" s="3"/>
      <c r="CI692" s="3"/>
    </row>
    <row r="693" spans="16:87">
      <c r="P693" s="1"/>
      <c r="Q693" s="2"/>
      <c r="R693" s="2"/>
      <c r="S693" s="2"/>
      <c r="T693" s="2"/>
      <c r="U693" s="2"/>
      <c r="V693" s="1"/>
      <c r="W693" s="1"/>
      <c r="X693" s="1"/>
      <c r="Y693" s="1"/>
      <c r="Z693" s="1"/>
      <c r="AA693" s="1"/>
      <c r="AB693" s="1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1"/>
      <c r="BY693" s="1"/>
      <c r="BZ693" s="1"/>
      <c r="CA693" s="1"/>
      <c r="CB693" s="1"/>
      <c r="CC693" s="1"/>
      <c r="CD693" s="3"/>
      <c r="CE693" s="3"/>
      <c r="CF693" s="1"/>
      <c r="CG693" s="1"/>
      <c r="CH693" s="3"/>
      <c r="CI693" s="3"/>
    </row>
    <row r="694" spans="16:87">
      <c r="P694" s="1"/>
      <c r="Q694" s="2"/>
      <c r="R694" s="2"/>
      <c r="S694" s="2"/>
      <c r="T694" s="2"/>
      <c r="U694" s="2"/>
      <c r="V694" s="1"/>
      <c r="W694" s="1"/>
      <c r="X694" s="1"/>
      <c r="Y694" s="1"/>
      <c r="Z694" s="1"/>
      <c r="AA694" s="1"/>
      <c r="AB694" s="1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1"/>
      <c r="BY694" s="1"/>
      <c r="BZ694" s="1"/>
      <c r="CA694" s="1"/>
      <c r="CB694" s="1"/>
      <c r="CC694" s="1"/>
      <c r="CD694" s="3"/>
      <c r="CE694" s="3"/>
      <c r="CF694" s="1"/>
      <c r="CG694" s="1"/>
      <c r="CH694" s="3"/>
      <c r="CI694" s="3"/>
    </row>
    <row r="695" spans="16:87">
      <c r="P695" s="1"/>
      <c r="Q695" s="2"/>
      <c r="R695" s="2"/>
      <c r="S695" s="2"/>
      <c r="T695" s="2"/>
      <c r="U695" s="2"/>
      <c r="V695" s="1"/>
      <c r="W695" s="1"/>
      <c r="X695" s="1"/>
      <c r="Y695" s="1"/>
      <c r="Z695" s="1"/>
      <c r="AA695" s="1"/>
      <c r="AB695" s="1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1"/>
      <c r="BY695" s="1"/>
      <c r="BZ695" s="1"/>
      <c r="CA695" s="1"/>
      <c r="CB695" s="1"/>
      <c r="CC695" s="1"/>
      <c r="CD695" s="3"/>
      <c r="CE695" s="3"/>
      <c r="CF695" s="1"/>
      <c r="CG695" s="1"/>
      <c r="CH695" s="3"/>
      <c r="CI695" s="3"/>
    </row>
    <row r="696" spans="16:87">
      <c r="P696" s="1"/>
      <c r="Q696" s="2"/>
      <c r="R696" s="2"/>
      <c r="S696" s="2"/>
      <c r="T696" s="2"/>
      <c r="U696" s="2"/>
      <c r="V696" s="1"/>
      <c r="W696" s="1"/>
      <c r="X696" s="1"/>
      <c r="Y696" s="1"/>
      <c r="Z696" s="1"/>
      <c r="AA696" s="1"/>
      <c r="AB696" s="1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1"/>
      <c r="BY696" s="1"/>
      <c r="BZ696" s="1"/>
      <c r="CA696" s="1"/>
      <c r="CB696" s="1"/>
      <c r="CC696" s="1"/>
      <c r="CD696" s="3"/>
      <c r="CE696" s="3"/>
      <c r="CF696" s="1"/>
      <c r="CG696" s="1"/>
      <c r="CH696" s="3"/>
      <c r="CI696" s="3"/>
    </row>
    <row r="697" spans="16:87">
      <c r="P697" s="1"/>
      <c r="Q697" s="2"/>
      <c r="R697" s="2"/>
      <c r="S697" s="2"/>
      <c r="T697" s="2"/>
      <c r="U697" s="2"/>
      <c r="V697" s="1"/>
      <c r="W697" s="1"/>
      <c r="X697" s="1"/>
      <c r="Y697" s="1"/>
      <c r="Z697" s="1"/>
      <c r="AA697" s="1"/>
      <c r="AB697" s="1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1"/>
      <c r="BY697" s="1"/>
      <c r="BZ697" s="1"/>
      <c r="CA697" s="1"/>
      <c r="CB697" s="1"/>
      <c r="CC697" s="1"/>
      <c r="CD697" s="3"/>
      <c r="CE697" s="3"/>
      <c r="CF697" s="1"/>
      <c r="CG697" s="1"/>
      <c r="CH697" s="3"/>
      <c r="CI697" s="3"/>
    </row>
    <row r="698" spans="16:87">
      <c r="P698" s="1"/>
      <c r="Q698" s="2"/>
      <c r="R698" s="2"/>
      <c r="S698" s="2"/>
      <c r="T698" s="2"/>
      <c r="U698" s="2"/>
      <c r="V698" s="1"/>
      <c r="W698" s="1"/>
      <c r="X698" s="1"/>
      <c r="Y698" s="1"/>
      <c r="Z698" s="1"/>
      <c r="AA698" s="1"/>
      <c r="AB698" s="1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1"/>
      <c r="BY698" s="1"/>
      <c r="BZ698" s="1"/>
      <c r="CA698" s="1"/>
      <c r="CB698" s="1"/>
      <c r="CC698" s="1"/>
      <c r="CD698" s="3"/>
      <c r="CE698" s="3"/>
      <c r="CF698" s="1"/>
      <c r="CG698" s="1"/>
      <c r="CH698" s="3"/>
      <c r="CI698" s="3"/>
    </row>
    <row r="699" spans="16:87">
      <c r="P699" s="1"/>
      <c r="Q699" s="2"/>
      <c r="R699" s="2"/>
      <c r="S699" s="2"/>
      <c r="T699" s="2"/>
      <c r="U699" s="2"/>
      <c r="V699" s="1"/>
      <c r="W699" s="1"/>
      <c r="X699" s="1"/>
      <c r="Y699" s="1"/>
      <c r="Z699" s="1"/>
      <c r="AA699" s="1"/>
      <c r="AB699" s="1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1"/>
      <c r="BY699" s="1"/>
      <c r="BZ699" s="1"/>
      <c r="CA699" s="1"/>
      <c r="CB699" s="1"/>
      <c r="CC699" s="1"/>
      <c r="CD699" s="3"/>
      <c r="CE699" s="3"/>
      <c r="CF699" s="1"/>
      <c r="CG699" s="1"/>
      <c r="CH699" s="3"/>
      <c r="CI699" s="3"/>
    </row>
    <row r="700" spans="16:87">
      <c r="P700" s="1"/>
      <c r="Q700" s="2"/>
      <c r="R700" s="2"/>
      <c r="S700" s="2"/>
      <c r="T700" s="2"/>
      <c r="U700" s="2"/>
      <c r="V700" s="1"/>
      <c r="W700" s="1"/>
      <c r="X700" s="1"/>
      <c r="Y700" s="1"/>
      <c r="Z700" s="1"/>
      <c r="AA700" s="1"/>
      <c r="AB700" s="1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1"/>
      <c r="BY700" s="1"/>
      <c r="BZ700" s="1"/>
      <c r="CA700" s="1"/>
      <c r="CB700" s="1"/>
      <c r="CC700" s="1"/>
      <c r="CD700" s="3"/>
      <c r="CE700" s="3"/>
      <c r="CF700" s="1"/>
      <c r="CG700" s="1"/>
      <c r="CH700" s="3"/>
      <c r="CI700" s="3"/>
    </row>
    <row r="701" spans="16:87">
      <c r="P701" s="1"/>
      <c r="Q701" s="2"/>
      <c r="R701" s="2"/>
      <c r="S701" s="2"/>
      <c r="T701" s="2"/>
      <c r="U701" s="2"/>
      <c r="V701" s="1"/>
      <c r="W701" s="1"/>
      <c r="X701" s="1"/>
      <c r="Y701" s="1"/>
      <c r="Z701" s="1"/>
      <c r="AA701" s="1"/>
      <c r="AB701" s="1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1"/>
      <c r="BY701" s="1"/>
      <c r="BZ701" s="1"/>
      <c r="CA701" s="1"/>
      <c r="CB701" s="1"/>
      <c r="CC701" s="1"/>
      <c r="CD701" s="3"/>
      <c r="CE701" s="3"/>
      <c r="CF701" s="1"/>
      <c r="CG701" s="1"/>
      <c r="CH701" s="3"/>
      <c r="CI701" s="3"/>
    </row>
    <row r="702" spans="16:87">
      <c r="P702" s="1"/>
      <c r="Q702" s="2"/>
      <c r="R702" s="2"/>
      <c r="S702" s="2"/>
      <c r="T702" s="2"/>
      <c r="U702" s="2"/>
      <c r="V702" s="1"/>
      <c r="W702" s="1"/>
      <c r="X702" s="1"/>
      <c r="Y702" s="1"/>
      <c r="Z702" s="1"/>
      <c r="AA702" s="1"/>
      <c r="AB702" s="1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1"/>
      <c r="BY702" s="1"/>
      <c r="BZ702" s="1"/>
      <c r="CA702" s="1"/>
      <c r="CB702" s="1"/>
      <c r="CC702" s="1"/>
      <c r="CD702" s="3"/>
      <c r="CE702" s="3"/>
      <c r="CF702" s="1"/>
      <c r="CG702" s="1"/>
      <c r="CH702" s="3"/>
      <c r="CI702" s="3"/>
    </row>
    <row r="703" spans="16:87">
      <c r="P703" s="1"/>
      <c r="Q703" s="2"/>
      <c r="R703" s="2"/>
      <c r="S703" s="2"/>
      <c r="T703" s="2"/>
      <c r="U703" s="2"/>
      <c r="V703" s="1"/>
      <c r="W703" s="1"/>
      <c r="X703" s="1"/>
      <c r="Y703" s="1"/>
      <c r="Z703" s="1"/>
      <c r="AA703" s="1"/>
      <c r="AB703" s="1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1"/>
      <c r="BY703" s="1"/>
      <c r="BZ703" s="1"/>
      <c r="CA703" s="1"/>
      <c r="CB703" s="1"/>
      <c r="CC703" s="1"/>
      <c r="CD703" s="3"/>
      <c r="CE703" s="3"/>
      <c r="CF703" s="1"/>
      <c r="CG703" s="1"/>
      <c r="CH703" s="3"/>
      <c r="CI703" s="3"/>
    </row>
    <row r="704" spans="16:87">
      <c r="P704" s="1"/>
      <c r="Q704" s="2"/>
      <c r="R704" s="2"/>
      <c r="S704" s="2"/>
      <c r="T704" s="2"/>
      <c r="U704" s="2"/>
      <c r="V704" s="1"/>
      <c r="W704" s="1"/>
      <c r="X704" s="1"/>
      <c r="Y704" s="1"/>
      <c r="Z704" s="1"/>
      <c r="AA704" s="1"/>
      <c r="AB704" s="1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1"/>
      <c r="BY704" s="1"/>
      <c r="BZ704" s="1"/>
      <c r="CA704" s="1"/>
      <c r="CB704" s="1"/>
      <c r="CC704" s="1"/>
      <c r="CD704" s="3"/>
      <c r="CE704" s="3"/>
      <c r="CF704" s="1"/>
      <c r="CG704" s="1"/>
      <c r="CH704" s="3"/>
      <c r="CI704" s="3"/>
    </row>
    <row r="705" spans="16:87">
      <c r="P705" s="1"/>
      <c r="Q705" s="2"/>
      <c r="R705" s="2"/>
      <c r="S705" s="2"/>
      <c r="T705" s="2"/>
      <c r="U705" s="2"/>
      <c r="V705" s="1"/>
      <c r="W705" s="1"/>
      <c r="X705" s="1"/>
      <c r="Y705" s="1"/>
      <c r="Z705" s="1"/>
      <c r="AA705" s="1"/>
      <c r="AB705" s="1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1"/>
      <c r="BY705" s="1"/>
      <c r="BZ705" s="1"/>
      <c r="CA705" s="1"/>
      <c r="CB705" s="1"/>
      <c r="CC705" s="1"/>
      <c r="CD705" s="3"/>
      <c r="CE705" s="3"/>
      <c r="CF705" s="1"/>
      <c r="CG705" s="1"/>
      <c r="CH705" s="3"/>
      <c r="CI705" s="3"/>
    </row>
    <row r="706" spans="16:87">
      <c r="P706" s="1"/>
      <c r="Q706" s="2"/>
      <c r="R706" s="2"/>
      <c r="S706" s="2"/>
      <c r="T706" s="2"/>
      <c r="U706" s="2"/>
      <c r="V706" s="1"/>
      <c r="W706" s="1"/>
      <c r="X706" s="1"/>
      <c r="Y706" s="1"/>
      <c r="Z706" s="1"/>
      <c r="AA706" s="1"/>
      <c r="AB706" s="1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1"/>
      <c r="BY706" s="1"/>
      <c r="BZ706" s="1"/>
      <c r="CA706" s="1"/>
      <c r="CB706" s="1"/>
      <c r="CC706" s="1"/>
      <c r="CD706" s="3"/>
      <c r="CE706" s="3"/>
      <c r="CF706" s="1"/>
      <c r="CG706" s="1"/>
      <c r="CH706" s="3"/>
      <c r="CI706" s="3"/>
    </row>
    <row r="707" spans="16:87">
      <c r="P707" s="1"/>
      <c r="Q707" s="2"/>
      <c r="R707" s="2"/>
      <c r="S707" s="2"/>
      <c r="T707" s="2"/>
      <c r="U707" s="2"/>
      <c r="V707" s="1"/>
      <c r="W707" s="1"/>
      <c r="X707" s="1"/>
      <c r="Y707" s="1"/>
      <c r="Z707" s="1"/>
      <c r="AA707" s="1"/>
      <c r="AB707" s="1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1"/>
      <c r="BY707" s="1"/>
      <c r="BZ707" s="1"/>
      <c r="CA707" s="1"/>
      <c r="CB707" s="1"/>
      <c r="CC707" s="1"/>
      <c r="CD707" s="3"/>
      <c r="CE707" s="3"/>
      <c r="CF707" s="1"/>
      <c r="CG707" s="1"/>
      <c r="CH707" s="3"/>
      <c r="CI707" s="3"/>
    </row>
    <row r="708" spans="16:87">
      <c r="P708" s="1"/>
      <c r="Q708" s="2"/>
      <c r="R708" s="2"/>
      <c r="S708" s="2"/>
      <c r="T708" s="2"/>
      <c r="U708" s="2"/>
      <c r="V708" s="1"/>
      <c r="W708" s="1"/>
      <c r="X708" s="1"/>
      <c r="Y708" s="1"/>
      <c r="Z708" s="1"/>
      <c r="AA708" s="1"/>
      <c r="AB708" s="1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1"/>
      <c r="BY708" s="1"/>
      <c r="BZ708" s="1"/>
      <c r="CA708" s="1"/>
      <c r="CB708" s="1"/>
      <c r="CC708" s="1"/>
      <c r="CD708" s="3"/>
      <c r="CE708" s="3"/>
      <c r="CF708" s="1"/>
      <c r="CG708" s="1"/>
      <c r="CH708" s="3"/>
      <c r="CI708" s="3"/>
    </row>
    <row r="709" spans="16:87">
      <c r="P709" s="1"/>
      <c r="Q709" s="2"/>
      <c r="R709" s="2"/>
      <c r="S709" s="2"/>
      <c r="T709" s="2"/>
      <c r="U709" s="2"/>
      <c r="V709" s="1"/>
      <c r="W709" s="1"/>
      <c r="X709" s="1"/>
      <c r="Y709" s="1"/>
      <c r="Z709" s="1"/>
      <c r="AA709" s="1"/>
      <c r="AB709" s="1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1"/>
      <c r="BY709" s="1"/>
      <c r="BZ709" s="1"/>
      <c r="CA709" s="1"/>
      <c r="CB709" s="1"/>
      <c r="CC709" s="1"/>
      <c r="CD709" s="3"/>
      <c r="CE709" s="3"/>
      <c r="CF709" s="1"/>
      <c r="CG709" s="1"/>
      <c r="CH709" s="3"/>
      <c r="CI709" s="3"/>
    </row>
    <row r="710" spans="16:87">
      <c r="P710" s="1"/>
      <c r="Q710" s="2"/>
      <c r="R710" s="2"/>
      <c r="S710" s="2"/>
      <c r="T710" s="2"/>
      <c r="U710" s="2"/>
      <c r="V710" s="1"/>
      <c r="W710" s="1"/>
      <c r="X710" s="1"/>
      <c r="Y710" s="1"/>
      <c r="Z710" s="1"/>
      <c r="AA710" s="1"/>
      <c r="AB710" s="1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1"/>
      <c r="BY710" s="1"/>
      <c r="BZ710" s="1"/>
      <c r="CA710" s="1"/>
      <c r="CB710" s="1"/>
      <c r="CC710" s="1"/>
      <c r="CD710" s="3"/>
      <c r="CE710" s="3"/>
      <c r="CF710" s="1"/>
      <c r="CG710" s="1"/>
      <c r="CH710" s="3"/>
      <c r="CI710" s="3"/>
    </row>
    <row r="711" spans="16:87">
      <c r="P711" s="1"/>
      <c r="Q711" s="2"/>
      <c r="R711" s="2"/>
      <c r="S711" s="2"/>
      <c r="T711" s="2"/>
      <c r="U711" s="2"/>
      <c r="V711" s="1"/>
      <c r="W711" s="1"/>
      <c r="X711" s="1"/>
      <c r="Y711" s="1"/>
      <c r="Z711" s="1"/>
      <c r="AA711" s="1"/>
      <c r="AB711" s="1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1"/>
      <c r="BY711" s="1"/>
      <c r="BZ711" s="1"/>
      <c r="CA711" s="1"/>
      <c r="CB711" s="1"/>
      <c r="CC711" s="1"/>
      <c r="CD711" s="3"/>
      <c r="CE711" s="3"/>
      <c r="CF711" s="1"/>
      <c r="CG711" s="1"/>
      <c r="CH711" s="3"/>
      <c r="CI711" s="3"/>
    </row>
    <row r="712" spans="16:87">
      <c r="P712" s="1"/>
      <c r="Q712" s="2"/>
      <c r="R712" s="2"/>
      <c r="S712" s="2"/>
      <c r="T712" s="2"/>
      <c r="U712" s="2"/>
      <c r="V712" s="1"/>
      <c r="W712" s="1"/>
      <c r="X712" s="1"/>
      <c r="Y712" s="1"/>
      <c r="Z712" s="1"/>
      <c r="AA712" s="1"/>
      <c r="AB712" s="1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1"/>
      <c r="BY712" s="1"/>
      <c r="BZ712" s="1"/>
      <c r="CA712" s="1"/>
      <c r="CB712" s="1"/>
      <c r="CC712" s="1"/>
      <c r="CD712" s="3"/>
      <c r="CE712" s="3"/>
      <c r="CF712" s="1"/>
      <c r="CG712" s="1"/>
      <c r="CH712" s="3"/>
      <c r="CI712" s="3"/>
    </row>
    <row r="713" spans="16:87">
      <c r="P713" s="1"/>
      <c r="Q713" s="2"/>
      <c r="R713" s="2"/>
      <c r="S713" s="2"/>
      <c r="T713" s="2"/>
      <c r="U713" s="2"/>
      <c r="V713" s="1"/>
      <c r="W713" s="1"/>
      <c r="X713" s="1"/>
      <c r="Y713" s="1"/>
      <c r="Z713" s="1"/>
      <c r="AA713" s="1"/>
      <c r="AB713" s="1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1"/>
      <c r="BY713" s="1"/>
      <c r="BZ713" s="1"/>
      <c r="CA713" s="1"/>
      <c r="CB713" s="1"/>
      <c r="CC713" s="1"/>
      <c r="CD713" s="3"/>
      <c r="CE713" s="3"/>
      <c r="CF713" s="1"/>
      <c r="CG713" s="1"/>
      <c r="CH713" s="3"/>
      <c r="CI713" s="3"/>
    </row>
    <row r="714" spans="16:87">
      <c r="P714" s="1"/>
      <c r="Q714" s="2"/>
      <c r="R714" s="2"/>
      <c r="S714" s="2"/>
      <c r="T714" s="2"/>
      <c r="U714" s="2"/>
      <c r="V714" s="1"/>
      <c r="W714" s="1"/>
      <c r="X714" s="1"/>
      <c r="Y714" s="1"/>
      <c r="Z714" s="1"/>
      <c r="AA714" s="1"/>
      <c r="AB714" s="1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1"/>
      <c r="BY714" s="1"/>
      <c r="BZ714" s="1"/>
      <c r="CA714" s="1"/>
      <c r="CB714" s="1"/>
      <c r="CC714" s="1"/>
      <c r="CD714" s="3"/>
      <c r="CE714" s="3"/>
      <c r="CF714" s="1"/>
      <c r="CG714" s="1"/>
      <c r="CH714" s="3"/>
      <c r="CI714" s="3"/>
    </row>
    <row r="715" spans="16:87">
      <c r="P715" s="1"/>
      <c r="Q715" s="2"/>
      <c r="R715" s="2"/>
      <c r="S715" s="2"/>
      <c r="T715" s="2"/>
      <c r="U715" s="2"/>
      <c r="V715" s="1"/>
      <c r="W715" s="1"/>
      <c r="X715" s="1"/>
      <c r="Y715" s="1"/>
      <c r="Z715" s="1"/>
      <c r="AA715" s="1"/>
      <c r="AB715" s="1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1"/>
      <c r="BY715" s="1"/>
      <c r="BZ715" s="1"/>
      <c r="CA715" s="1"/>
      <c r="CB715" s="1"/>
      <c r="CC715" s="1"/>
      <c r="CD715" s="3"/>
      <c r="CE715" s="3"/>
      <c r="CF715" s="1"/>
      <c r="CG715" s="1"/>
      <c r="CH715" s="3"/>
      <c r="CI715" s="3"/>
    </row>
    <row r="716" spans="16:87">
      <c r="P716" s="1"/>
      <c r="Q716" s="2"/>
      <c r="R716" s="2"/>
      <c r="S716" s="2"/>
      <c r="T716" s="2"/>
      <c r="U716" s="2"/>
      <c r="V716" s="1"/>
      <c r="W716" s="1"/>
      <c r="X716" s="1"/>
      <c r="Y716" s="1"/>
      <c r="Z716" s="1"/>
      <c r="AA716" s="1"/>
      <c r="AB716" s="1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1"/>
      <c r="BY716" s="1"/>
      <c r="BZ716" s="1"/>
      <c r="CA716" s="1"/>
      <c r="CB716" s="1"/>
      <c r="CC716" s="1"/>
      <c r="CD716" s="3"/>
      <c r="CE716" s="3"/>
      <c r="CF716" s="1"/>
      <c r="CG716" s="1"/>
      <c r="CH716" s="3"/>
      <c r="CI716" s="3"/>
    </row>
    <row r="717" spans="16:87">
      <c r="P717" s="1"/>
      <c r="Q717" s="2"/>
      <c r="R717" s="2"/>
      <c r="S717" s="2"/>
      <c r="T717" s="2"/>
      <c r="U717" s="2"/>
      <c r="V717" s="1"/>
      <c r="W717" s="1"/>
      <c r="X717" s="1"/>
      <c r="Y717" s="1"/>
      <c r="Z717" s="1"/>
      <c r="AA717" s="1"/>
      <c r="AB717" s="1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1"/>
      <c r="BY717" s="1"/>
      <c r="BZ717" s="1"/>
      <c r="CA717" s="1"/>
      <c r="CB717" s="1"/>
      <c r="CC717" s="1"/>
      <c r="CD717" s="3"/>
      <c r="CE717" s="3"/>
      <c r="CF717" s="1"/>
      <c r="CG717" s="1"/>
      <c r="CH717" s="3"/>
      <c r="CI717" s="3"/>
    </row>
    <row r="718" spans="16:87">
      <c r="P718" s="1"/>
      <c r="Q718" s="2"/>
      <c r="R718" s="2"/>
      <c r="S718" s="2"/>
      <c r="T718" s="2"/>
      <c r="U718" s="2"/>
      <c r="V718" s="1"/>
      <c r="W718" s="1"/>
      <c r="X718" s="1"/>
      <c r="Y718" s="1"/>
      <c r="Z718" s="1"/>
      <c r="AA718" s="1"/>
      <c r="AB718" s="1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1"/>
      <c r="BY718" s="1"/>
      <c r="BZ718" s="1"/>
      <c r="CA718" s="1"/>
      <c r="CB718" s="1"/>
      <c r="CC718" s="1"/>
      <c r="CD718" s="3"/>
      <c r="CE718" s="3"/>
      <c r="CF718" s="1"/>
      <c r="CG718" s="1"/>
      <c r="CH718" s="3"/>
      <c r="CI718" s="3"/>
    </row>
    <row r="719" spans="16:87">
      <c r="P719" s="1"/>
      <c r="Q719" s="2"/>
      <c r="R719" s="2"/>
      <c r="S719" s="2"/>
      <c r="T719" s="2"/>
      <c r="U719" s="2"/>
      <c r="V719" s="1"/>
      <c r="W719" s="1"/>
      <c r="X719" s="1"/>
      <c r="Y719" s="1"/>
      <c r="Z719" s="1"/>
      <c r="AA719" s="1"/>
      <c r="AB719" s="1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1"/>
      <c r="BY719" s="1"/>
      <c r="BZ719" s="1"/>
      <c r="CA719" s="1"/>
      <c r="CB719" s="1"/>
      <c r="CC719" s="1"/>
      <c r="CD719" s="3"/>
      <c r="CE719" s="3"/>
      <c r="CF719" s="1"/>
      <c r="CG719" s="1"/>
      <c r="CH719" s="3"/>
      <c r="CI719" s="3"/>
    </row>
    <row r="720" spans="16:87">
      <c r="P720" s="1"/>
      <c r="Q720" s="2"/>
      <c r="R720" s="2"/>
      <c r="S720" s="2"/>
      <c r="T720" s="2"/>
      <c r="U720" s="2"/>
      <c r="V720" s="1"/>
      <c r="W720" s="1"/>
      <c r="X720" s="1"/>
      <c r="Y720" s="1"/>
      <c r="Z720" s="1"/>
      <c r="AA720" s="1"/>
      <c r="AB720" s="1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1"/>
      <c r="BY720" s="1"/>
      <c r="BZ720" s="1"/>
      <c r="CA720" s="1"/>
      <c r="CB720" s="1"/>
      <c r="CC720" s="1"/>
      <c r="CD720" s="3"/>
      <c r="CE720" s="3"/>
      <c r="CF720" s="1"/>
      <c r="CG720" s="1"/>
      <c r="CH720" s="3"/>
      <c r="CI720" s="3"/>
    </row>
    <row r="721" spans="16:87">
      <c r="P721" s="1"/>
      <c r="Q721" s="2"/>
      <c r="R721" s="2"/>
      <c r="S721" s="2"/>
      <c r="T721" s="2"/>
      <c r="U721" s="2"/>
      <c r="V721" s="1"/>
      <c r="W721" s="1"/>
      <c r="X721" s="1"/>
      <c r="Y721" s="1"/>
      <c r="Z721" s="1"/>
      <c r="AA721" s="1"/>
      <c r="AB721" s="1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1"/>
      <c r="BY721" s="1"/>
      <c r="BZ721" s="1"/>
      <c r="CA721" s="1"/>
      <c r="CB721" s="1"/>
      <c r="CC721" s="1"/>
      <c r="CD721" s="3"/>
      <c r="CE721" s="3"/>
      <c r="CF721" s="1"/>
      <c r="CG721" s="1"/>
      <c r="CH721" s="3"/>
      <c r="CI721" s="3"/>
    </row>
    <row r="722" spans="16:87">
      <c r="P722" s="1"/>
      <c r="Q722" s="2"/>
      <c r="R722" s="2"/>
      <c r="S722" s="2"/>
      <c r="T722" s="2"/>
      <c r="U722" s="2"/>
      <c r="V722" s="1"/>
      <c r="W722" s="1"/>
      <c r="X722" s="1"/>
      <c r="Y722" s="1"/>
      <c r="Z722" s="1"/>
      <c r="AA722" s="1"/>
      <c r="AB722" s="1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1"/>
      <c r="BY722" s="1"/>
      <c r="BZ722" s="1"/>
      <c r="CA722" s="1"/>
      <c r="CB722" s="1"/>
      <c r="CC722" s="1"/>
      <c r="CD722" s="3"/>
      <c r="CE722" s="3"/>
      <c r="CF722" s="1"/>
      <c r="CG722" s="1"/>
      <c r="CH722" s="3"/>
      <c r="CI722" s="3"/>
    </row>
    <row r="723" spans="16:87">
      <c r="P723" s="1"/>
      <c r="Q723" s="2"/>
      <c r="R723" s="2"/>
      <c r="S723" s="2"/>
      <c r="T723" s="2"/>
      <c r="U723" s="2"/>
      <c r="V723" s="1"/>
      <c r="W723" s="1"/>
      <c r="X723" s="1"/>
      <c r="Y723" s="1"/>
      <c r="Z723" s="1"/>
      <c r="AA723" s="1"/>
      <c r="AB723" s="1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1"/>
      <c r="BY723" s="1"/>
      <c r="BZ723" s="1"/>
      <c r="CA723" s="1"/>
      <c r="CB723" s="1"/>
      <c r="CC723" s="1"/>
      <c r="CD723" s="3"/>
      <c r="CE723" s="3"/>
      <c r="CF723" s="1"/>
      <c r="CG723" s="1"/>
      <c r="CH723" s="3"/>
      <c r="CI723" s="3"/>
    </row>
    <row r="724" spans="16:87">
      <c r="P724" s="1"/>
      <c r="Q724" s="2"/>
      <c r="R724" s="2"/>
      <c r="S724" s="2"/>
      <c r="T724" s="2"/>
      <c r="U724" s="2"/>
      <c r="V724" s="1"/>
      <c r="W724" s="1"/>
      <c r="X724" s="1"/>
      <c r="Y724" s="1"/>
      <c r="Z724" s="1"/>
      <c r="AA724" s="1"/>
      <c r="AB724" s="1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1"/>
      <c r="BY724" s="1"/>
      <c r="BZ724" s="1"/>
      <c r="CA724" s="1"/>
      <c r="CB724" s="1"/>
      <c r="CC724" s="1"/>
      <c r="CD724" s="3"/>
      <c r="CE724" s="3"/>
      <c r="CF724" s="1"/>
      <c r="CG724" s="1"/>
      <c r="CH724" s="3"/>
      <c r="CI724" s="3"/>
    </row>
    <row r="725" spans="16:87">
      <c r="P725" s="1"/>
      <c r="Q725" s="2"/>
      <c r="R725" s="2"/>
      <c r="S725" s="2"/>
      <c r="T725" s="2"/>
      <c r="U725" s="2"/>
      <c r="V725" s="1"/>
      <c r="W725" s="1"/>
      <c r="X725" s="1"/>
      <c r="Y725" s="1"/>
      <c r="Z725" s="1"/>
      <c r="AA725" s="1"/>
      <c r="AB725" s="1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1"/>
      <c r="BY725" s="1"/>
      <c r="BZ725" s="1"/>
      <c r="CA725" s="1"/>
      <c r="CB725" s="1"/>
      <c r="CC725" s="1"/>
      <c r="CD725" s="3"/>
      <c r="CE725" s="3"/>
      <c r="CF725" s="1"/>
      <c r="CG725" s="1"/>
      <c r="CH725" s="3"/>
      <c r="CI725" s="3"/>
    </row>
    <row r="726" spans="16:87">
      <c r="P726" s="1"/>
      <c r="Q726" s="2"/>
      <c r="R726" s="2"/>
      <c r="S726" s="2"/>
      <c r="T726" s="2"/>
      <c r="U726" s="2"/>
      <c r="V726" s="1"/>
      <c r="W726" s="1"/>
      <c r="X726" s="1"/>
      <c r="Y726" s="1"/>
      <c r="Z726" s="1"/>
      <c r="AA726" s="1"/>
      <c r="AB726" s="1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1"/>
      <c r="BY726" s="1"/>
      <c r="BZ726" s="1"/>
      <c r="CA726" s="1"/>
      <c r="CB726" s="1"/>
      <c r="CC726" s="1"/>
      <c r="CD726" s="3"/>
      <c r="CE726" s="3"/>
      <c r="CF726" s="1"/>
      <c r="CG726" s="1"/>
      <c r="CH726" s="3"/>
      <c r="CI726" s="3"/>
    </row>
    <row r="727" spans="16:87">
      <c r="P727" s="1"/>
      <c r="Q727" s="2"/>
      <c r="R727" s="2"/>
      <c r="S727" s="2"/>
      <c r="T727" s="2"/>
      <c r="U727" s="2"/>
      <c r="V727" s="1"/>
      <c r="W727" s="1"/>
      <c r="X727" s="1"/>
      <c r="Y727" s="1"/>
      <c r="Z727" s="1"/>
      <c r="AA727" s="1"/>
      <c r="AB727" s="1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1"/>
      <c r="BY727" s="1"/>
      <c r="BZ727" s="1"/>
      <c r="CA727" s="1"/>
      <c r="CB727" s="1"/>
      <c r="CC727" s="1"/>
      <c r="CD727" s="3"/>
      <c r="CE727" s="3"/>
      <c r="CF727" s="1"/>
      <c r="CG727" s="1"/>
      <c r="CH727" s="3"/>
      <c r="CI727" s="3"/>
    </row>
    <row r="728" spans="16:87">
      <c r="P728" s="1"/>
      <c r="Q728" s="2"/>
      <c r="R728" s="2"/>
      <c r="S728" s="2"/>
      <c r="T728" s="2"/>
      <c r="U728" s="2"/>
      <c r="V728" s="1"/>
      <c r="W728" s="1"/>
      <c r="X728" s="1"/>
      <c r="Y728" s="1"/>
      <c r="Z728" s="1"/>
      <c r="AA728" s="1"/>
      <c r="AB728" s="1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1"/>
      <c r="BY728" s="1"/>
      <c r="BZ728" s="1"/>
      <c r="CA728" s="1"/>
      <c r="CB728" s="1"/>
      <c r="CC728" s="1"/>
      <c r="CD728" s="3"/>
      <c r="CE728" s="3"/>
      <c r="CF728" s="1"/>
      <c r="CG728" s="1"/>
      <c r="CH728" s="3"/>
      <c r="CI728" s="3"/>
    </row>
    <row r="729" spans="16:87">
      <c r="P729" s="1"/>
      <c r="Q729" s="2"/>
      <c r="R729" s="2"/>
      <c r="S729" s="2"/>
      <c r="T729" s="2"/>
      <c r="U729" s="2"/>
      <c r="V729" s="1"/>
      <c r="W729" s="1"/>
      <c r="X729" s="1"/>
      <c r="Y729" s="1"/>
      <c r="Z729" s="1"/>
      <c r="AA729" s="1"/>
      <c r="AB729" s="1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1"/>
      <c r="BY729" s="1"/>
      <c r="BZ729" s="1"/>
      <c r="CA729" s="1"/>
      <c r="CB729" s="1"/>
      <c r="CC729" s="1"/>
      <c r="CD729" s="3"/>
      <c r="CE729" s="3"/>
      <c r="CF729" s="1"/>
      <c r="CG729" s="1"/>
      <c r="CH729" s="3"/>
      <c r="CI729" s="3"/>
    </row>
    <row r="730" spans="16:87">
      <c r="P730" s="1"/>
      <c r="Q730" s="2"/>
      <c r="R730" s="2"/>
      <c r="S730" s="2"/>
      <c r="T730" s="2"/>
      <c r="U730" s="2"/>
      <c r="V730" s="1"/>
      <c r="W730" s="1"/>
      <c r="X730" s="1"/>
      <c r="Y730" s="1"/>
      <c r="Z730" s="1"/>
      <c r="AA730" s="1"/>
      <c r="AB730" s="1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1"/>
      <c r="BY730" s="1"/>
      <c r="BZ730" s="1"/>
      <c r="CA730" s="1"/>
      <c r="CB730" s="1"/>
      <c r="CC730" s="1"/>
      <c r="CD730" s="3"/>
      <c r="CE730" s="3"/>
      <c r="CF730" s="1"/>
      <c r="CG730" s="1"/>
      <c r="CH730" s="3"/>
      <c r="CI730" s="3"/>
    </row>
    <row r="731" spans="16:87">
      <c r="P731" s="1"/>
      <c r="Q731" s="2"/>
      <c r="R731" s="2"/>
      <c r="S731" s="2"/>
      <c r="T731" s="2"/>
      <c r="U731" s="2"/>
      <c r="V731" s="1"/>
      <c r="W731" s="1"/>
      <c r="X731" s="1"/>
      <c r="Y731" s="1"/>
      <c r="Z731" s="1"/>
      <c r="AA731" s="1"/>
      <c r="AB731" s="1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1"/>
      <c r="BY731" s="1"/>
      <c r="BZ731" s="1"/>
      <c r="CA731" s="1"/>
      <c r="CB731" s="1"/>
      <c r="CC731" s="1"/>
      <c r="CD731" s="3"/>
      <c r="CE731" s="3"/>
      <c r="CF731" s="1"/>
      <c r="CG731" s="1"/>
      <c r="CH731" s="3"/>
      <c r="CI731" s="3"/>
    </row>
    <row r="732" spans="16:87">
      <c r="P732" s="1"/>
      <c r="Q732" s="2"/>
      <c r="R732" s="2"/>
      <c r="S732" s="2"/>
      <c r="T732" s="2"/>
      <c r="U732" s="2"/>
      <c r="V732" s="1"/>
      <c r="W732" s="1"/>
      <c r="X732" s="1"/>
      <c r="Y732" s="1"/>
      <c r="Z732" s="1"/>
      <c r="AA732" s="1"/>
      <c r="AB732" s="1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1"/>
      <c r="BY732" s="1"/>
      <c r="BZ732" s="1"/>
      <c r="CA732" s="1"/>
      <c r="CB732" s="1"/>
      <c r="CC732" s="1"/>
      <c r="CD732" s="3"/>
      <c r="CE732" s="3"/>
      <c r="CF732" s="1"/>
      <c r="CG732" s="1"/>
      <c r="CH732" s="3"/>
      <c r="CI732" s="3"/>
    </row>
    <row r="733" spans="16:87">
      <c r="P733" s="1"/>
      <c r="Q733" s="2"/>
      <c r="R733" s="2"/>
      <c r="S733" s="2"/>
      <c r="T733" s="2"/>
      <c r="U733" s="2"/>
      <c r="V733" s="1"/>
      <c r="W733" s="1"/>
      <c r="X733" s="1"/>
      <c r="Y733" s="1"/>
      <c r="Z733" s="1"/>
      <c r="AA733" s="1"/>
      <c r="AB733" s="1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1"/>
      <c r="BY733" s="1"/>
      <c r="BZ733" s="1"/>
      <c r="CA733" s="1"/>
      <c r="CB733" s="1"/>
      <c r="CC733" s="1"/>
      <c r="CD733" s="3"/>
      <c r="CE733" s="3"/>
      <c r="CF733" s="1"/>
      <c r="CG733" s="1"/>
      <c r="CH733" s="3"/>
      <c r="CI733" s="3"/>
    </row>
    <row r="734" spans="16:87">
      <c r="P734" s="1"/>
      <c r="Q734" s="2"/>
      <c r="R734" s="2"/>
      <c r="S734" s="2"/>
      <c r="T734" s="2"/>
      <c r="U734" s="2"/>
      <c r="V734" s="1"/>
      <c r="W734" s="1"/>
      <c r="X734" s="1"/>
      <c r="Y734" s="1"/>
      <c r="Z734" s="1"/>
      <c r="AA734" s="1"/>
      <c r="AB734" s="1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1"/>
      <c r="BY734" s="1"/>
      <c r="BZ734" s="1"/>
      <c r="CA734" s="1"/>
      <c r="CB734" s="1"/>
      <c r="CC734" s="1"/>
      <c r="CD734" s="3"/>
      <c r="CE734" s="3"/>
      <c r="CF734" s="1"/>
      <c r="CG734" s="1"/>
      <c r="CH734" s="3"/>
      <c r="CI734" s="3"/>
    </row>
    <row r="735" spans="16:87">
      <c r="P735" s="1"/>
      <c r="Q735" s="2"/>
      <c r="R735" s="2"/>
      <c r="S735" s="2"/>
      <c r="T735" s="2"/>
      <c r="U735" s="2"/>
      <c r="V735" s="1"/>
      <c r="W735" s="1"/>
      <c r="X735" s="1"/>
      <c r="Y735" s="1"/>
      <c r="Z735" s="1"/>
      <c r="AA735" s="1"/>
      <c r="AB735" s="1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1"/>
      <c r="BY735" s="1"/>
      <c r="BZ735" s="1"/>
      <c r="CA735" s="1"/>
      <c r="CB735" s="1"/>
      <c r="CC735" s="1"/>
      <c r="CD735" s="3"/>
      <c r="CE735" s="3"/>
      <c r="CF735" s="1"/>
      <c r="CG735" s="1"/>
      <c r="CH735" s="3"/>
      <c r="CI735" s="3"/>
    </row>
    <row r="736" spans="16:87">
      <c r="P736" s="1"/>
      <c r="Q736" s="2"/>
      <c r="R736" s="2"/>
      <c r="S736" s="2"/>
      <c r="T736" s="2"/>
      <c r="U736" s="2"/>
      <c r="V736" s="1"/>
      <c r="W736" s="1"/>
      <c r="X736" s="1"/>
      <c r="Y736" s="1"/>
      <c r="Z736" s="1"/>
      <c r="AA736" s="1"/>
      <c r="AB736" s="1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1"/>
      <c r="BY736" s="1"/>
      <c r="BZ736" s="1"/>
      <c r="CA736" s="1"/>
      <c r="CB736" s="1"/>
      <c r="CC736" s="1"/>
      <c r="CD736" s="3"/>
      <c r="CE736" s="3"/>
      <c r="CF736" s="1"/>
      <c r="CG736" s="1"/>
      <c r="CH736" s="3"/>
      <c r="CI736" s="3"/>
    </row>
    <row r="737" spans="16:87">
      <c r="P737" s="1"/>
      <c r="Q737" s="2"/>
      <c r="R737" s="2"/>
      <c r="S737" s="2"/>
      <c r="T737" s="2"/>
      <c r="U737" s="2"/>
      <c r="V737" s="1"/>
      <c r="W737" s="1"/>
      <c r="X737" s="1"/>
      <c r="Y737" s="1"/>
      <c r="Z737" s="1"/>
      <c r="AA737" s="1"/>
      <c r="AB737" s="1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1"/>
      <c r="BY737" s="1"/>
      <c r="BZ737" s="1"/>
      <c r="CA737" s="1"/>
      <c r="CB737" s="1"/>
      <c r="CC737" s="1"/>
      <c r="CD737" s="3"/>
      <c r="CE737" s="3"/>
      <c r="CF737" s="1"/>
      <c r="CG737" s="1"/>
      <c r="CH737" s="3"/>
      <c r="CI737" s="3"/>
    </row>
    <row r="738" spans="16:87">
      <c r="P738" s="1"/>
      <c r="Q738" s="2"/>
      <c r="R738" s="2"/>
      <c r="S738" s="2"/>
      <c r="T738" s="2"/>
      <c r="U738" s="2"/>
      <c r="V738" s="1"/>
      <c r="W738" s="1"/>
      <c r="X738" s="1"/>
      <c r="Y738" s="1"/>
      <c r="Z738" s="1"/>
      <c r="AA738" s="1"/>
      <c r="AB738" s="1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1"/>
      <c r="BY738" s="1"/>
      <c r="BZ738" s="1"/>
      <c r="CA738" s="1"/>
      <c r="CB738" s="1"/>
      <c r="CC738" s="1"/>
      <c r="CD738" s="3"/>
      <c r="CE738" s="3"/>
      <c r="CF738" s="1"/>
      <c r="CG738" s="1"/>
      <c r="CH738" s="3"/>
      <c r="CI738" s="3"/>
    </row>
    <row r="739" spans="16:87">
      <c r="P739" s="1"/>
      <c r="Q739" s="2"/>
      <c r="R739" s="2"/>
      <c r="S739" s="2"/>
      <c r="T739" s="2"/>
      <c r="U739" s="2"/>
      <c r="V739" s="1"/>
      <c r="W739" s="1"/>
      <c r="X739" s="1"/>
      <c r="Y739" s="1"/>
      <c r="Z739" s="1"/>
      <c r="AA739" s="1"/>
      <c r="AB739" s="1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1"/>
      <c r="BY739" s="1"/>
      <c r="BZ739" s="1"/>
      <c r="CA739" s="1"/>
      <c r="CB739" s="1"/>
      <c r="CC739" s="1"/>
      <c r="CD739" s="3"/>
      <c r="CE739" s="3"/>
      <c r="CF739" s="1"/>
      <c r="CG739" s="1"/>
      <c r="CH739" s="3"/>
      <c r="CI739" s="3"/>
    </row>
    <row r="740" spans="16:87">
      <c r="P740" s="1"/>
      <c r="Q740" s="2"/>
      <c r="R740" s="2"/>
      <c r="S740" s="2"/>
      <c r="T740" s="2"/>
      <c r="U740" s="2"/>
      <c r="V740" s="1"/>
      <c r="W740" s="1"/>
      <c r="X740" s="1"/>
      <c r="Y740" s="1"/>
      <c r="Z740" s="1"/>
      <c r="AA740" s="1"/>
      <c r="AB740" s="1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1"/>
      <c r="BY740" s="1"/>
      <c r="BZ740" s="1"/>
      <c r="CA740" s="1"/>
      <c r="CB740" s="1"/>
      <c r="CC740" s="1"/>
      <c r="CD740" s="3"/>
      <c r="CE740" s="3"/>
      <c r="CF740" s="1"/>
      <c r="CG740" s="1"/>
      <c r="CH740" s="3"/>
      <c r="CI740" s="3"/>
    </row>
    <row r="741" spans="16:87">
      <c r="P741" s="1"/>
      <c r="Q741" s="2"/>
      <c r="R741" s="2"/>
      <c r="S741" s="2"/>
      <c r="T741" s="2"/>
      <c r="U741" s="2"/>
      <c r="V741" s="1"/>
      <c r="W741" s="1"/>
      <c r="X741" s="1"/>
      <c r="Y741" s="1"/>
      <c r="Z741" s="1"/>
      <c r="AA741" s="1"/>
      <c r="AB741" s="1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1"/>
      <c r="BY741" s="1"/>
      <c r="BZ741" s="1"/>
      <c r="CA741" s="1"/>
      <c r="CB741" s="1"/>
      <c r="CC741" s="1"/>
      <c r="CD741" s="3"/>
      <c r="CE741" s="3"/>
      <c r="CF741" s="1"/>
      <c r="CG741" s="1"/>
      <c r="CH741" s="3"/>
      <c r="CI741" s="3"/>
    </row>
    <row r="742" spans="16:87">
      <c r="P742" s="1"/>
      <c r="Q742" s="2"/>
      <c r="R742" s="2"/>
      <c r="S742" s="2"/>
      <c r="T742" s="2"/>
      <c r="U742" s="2"/>
      <c r="V742" s="1"/>
      <c r="W742" s="1"/>
      <c r="X742" s="1"/>
      <c r="Y742" s="1"/>
      <c r="Z742" s="1"/>
      <c r="AA742" s="1"/>
      <c r="AB742" s="1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1"/>
      <c r="BY742" s="1"/>
      <c r="BZ742" s="1"/>
      <c r="CA742" s="1"/>
      <c r="CB742" s="1"/>
      <c r="CC742" s="1"/>
      <c r="CD742" s="3"/>
      <c r="CE742" s="3"/>
      <c r="CF742" s="1"/>
      <c r="CG742" s="1"/>
      <c r="CH742" s="3"/>
      <c r="CI742" s="3"/>
    </row>
    <row r="743" spans="16:87">
      <c r="P743" s="1"/>
      <c r="Q743" s="2"/>
      <c r="R743" s="2"/>
      <c r="S743" s="2"/>
      <c r="T743" s="2"/>
      <c r="U743" s="2"/>
      <c r="V743" s="1"/>
      <c r="W743" s="1"/>
      <c r="X743" s="1"/>
      <c r="Y743" s="1"/>
      <c r="Z743" s="1"/>
      <c r="AA743" s="1"/>
      <c r="AB743" s="1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1"/>
      <c r="BY743" s="1"/>
      <c r="BZ743" s="1"/>
      <c r="CA743" s="1"/>
      <c r="CB743" s="1"/>
      <c r="CC743" s="1"/>
      <c r="CD743" s="3"/>
      <c r="CE743" s="3"/>
      <c r="CF743" s="1"/>
      <c r="CG743" s="1"/>
      <c r="CH743" s="3"/>
      <c r="CI743" s="3"/>
    </row>
    <row r="744" spans="16:87">
      <c r="P744" s="1"/>
      <c r="Q744" s="2"/>
      <c r="R744" s="2"/>
      <c r="S744" s="2"/>
      <c r="T744" s="2"/>
      <c r="U744" s="2"/>
      <c r="V744" s="1"/>
      <c r="W744" s="1"/>
      <c r="X744" s="1"/>
      <c r="Y744" s="1"/>
      <c r="Z744" s="1"/>
      <c r="AA744" s="1"/>
      <c r="AB744" s="1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1"/>
      <c r="BY744" s="1"/>
      <c r="BZ744" s="1"/>
      <c r="CA744" s="1"/>
      <c r="CB744" s="1"/>
      <c r="CC744" s="1"/>
      <c r="CD744" s="3"/>
      <c r="CE744" s="3"/>
      <c r="CF744" s="1"/>
      <c r="CG744" s="1"/>
      <c r="CH744" s="3"/>
      <c r="CI744" s="3"/>
    </row>
    <row r="745" spans="16:87">
      <c r="P745" s="1"/>
      <c r="Q745" s="2"/>
      <c r="R745" s="2"/>
      <c r="S745" s="2"/>
      <c r="T745" s="2"/>
      <c r="U745" s="2"/>
      <c r="V745" s="1"/>
      <c r="W745" s="1"/>
      <c r="X745" s="1"/>
      <c r="Y745" s="1"/>
      <c r="Z745" s="1"/>
      <c r="AA745" s="1"/>
      <c r="AB745" s="1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1"/>
      <c r="BY745" s="1"/>
      <c r="BZ745" s="1"/>
      <c r="CA745" s="1"/>
      <c r="CB745" s="1"/>
      <c r="CC745" s="1"/>
      <c r="CD745" s="3"/>
      <c r="CE745" s="3"/>
      <c r="CF745" s="1"/>
      <c r="CG745" s="1"/>
      <c r="CH745" s="3"/>
      <c r="CI745" s="3"/>
    </row>
    <row r="746" spans="16:87">
      <c r="P746" s="1"/>
      <c r="Q746" s="2"/>
      <c r="R746" s="2"/>
      <c r="S746" s="2"/>
      <c r="T746" s="2"/>
      <c r="U746" s="2"/>
      <c r="V746" s="1"/>
      <c r="W746" s="1"/>
      <c r="X746" s="1"/>
      <c r="Y746" s="1"/>
      <c r="Z746" s="1"/>
      <c r="AA746" s="1"/>
      <c r="AB746" s="1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1"/>
      <c r="BY746" s="1"/>
      <c r="BZ746" s="1"/>
      <c r="CA746" s="1"/>
      <c r="CB746" s="1"/>
      <c r="CC746" s="1"/>
      <c r="CD746" s="3"/>
      <c r="CE746" s="3"/>
      <c r="CF746" s="1"/>
      <c r="CG746" s="1"/>
      <c r="CH746" s="3"/>
      <c r="CI746" s="3"/>
    </row>
    <row r="747" spans="16:87">
      <c r="P747" s="1"/>
      <c r="Q747" s="2"/>
      <c r="R747" s="2"/>
      <c r="S747" s="2"/>
      <c r="T747" s="2"/>
      <c r="U747" s="2"/>
      <c r="V747" s="1"/>
      <c r="W747" s="1"/>
      <c r="X747" s="1"/>
      <c r="Y747" s="1"/>
      <c r="Z747" s="1"/>
      <c r="AA747" s="1"/>
      <c r="AB747" s="1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1"/>
      <c r="BY747" s="1"/>
      <c r="BZ747" s="1"/>
      <c r="CA747" s="1"/>
      <c r="CB747" s="1"/>
      <c r="CC747" s="1"/>
      <c r="CD747" s="3"/>
      <c r="CE747" s="3"/>
      <c r="CF747" s="1"/>
      <c r="CG747" s="1"/>
      <c r="CH747" s="3"/>
      <c r="CI747" s="3"/>
    </row>
    <row r="748" spans="16:87">
      <c r="P748" s="1"/>
      <c r="Q748" s="2"/>
      <c r="R748" s="2"/>
      <c r="S748" s="2"/>
      <c r="T748" s="2"/>
      <c r="U748" s="2"/>
      <c r="V748" s="1"/>
      <c r="W748" s="1"/>
      <c r="X748" s="1"/>
      <c r="Y748" s="1"/>
      <c r="Z748" s="1"/>
      <c r="AA748" s="1"/>
      <c r="AB748" s="1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1"/>
      <c r="BY748" s="1"/>
      <c r="BZ748" s="1"/>
      <c r="CA748" s="1"/>
      <c r="CB748" s="1"/>
      <c r="CC748" s="1"/>
      <c r="CD748" s="3"/>
      <c r="CE748" s="3"/>
      <c r="CF748" s="1"/>
      <c r="CG748" s="1"/>
      <c r="CH748" s="3"/>
      <c r="CI748" s="3"/>
    </row>
    <row r="749" spans="16:87">
      <c r="P749" s="1"/>
      <c r="Q749" s="2"/>
      <c r="R749" s="2"/>
      <c r="S749" s="2"/>
      <c r="T749" s="2"/>
      <c r="U749" s="2"/>
      <c r="V749" s="1"/>
      <c r="W749" s="1"/>
      <c r="X749" s="1"/>
      <c r="Y749" s="1"/>
      <c r="Z749" s="1"/>
      <c r="AA749" s="1"/>
      <c r="AB749" s="1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1"/>
      <c r="BY749" s="1"/>
      <c r="BZ749" s="1"/>
      <c r="CA749" s="1"/>
      <c r="CB749" s="1"/>
      <c r="CC749" s="1"/>
      <c r="CD749" s="3"/>
      <c r="CE749" s="3"/>
      <c r="CF749" s="1"/>
      <c r="CG749" s="1"/>
      <c r="CH749" s="3"/>
      <c r="CI749" s="3"/>
    </row>
    <row r="750" spans="16:87">
      <c r="P750" s="1"/>
      <c r="Q750" s="2"/>
      <c r="R750" s="2"/>
      <c r="S750" s="2"/>
      <c r="T750" s="2"/>
      <c r="U750" s="2"/>
      <c r="V750" s="1"/>
      <c r="W750" s="1"/>
      <c r="X750" s="1"/>
      <c r="Y750" s="1"/>
      <c r="Z750" s="1"/>
      <c r="AA750" s="1"/>
      <c r="AB750" s="1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1"/>
      <c r="BY750" s="1"/>
      <c r="BZ750" s="1"/>
      <c r="CA750" s="1"/>
      <c r="CB750" s="1"/>
      <c r="CC750" s="1"/>
      <c r="CD750" s="3"/>
      <c r="CE750" s="3"/>
      <c r="CF750" s="1"/>
      <c r="CG750" s="1"/>
      <c r="CH750" s="3"/>
      <c r="CI750" s="3"/>
    </row>
    <row r="751" spans="16:87">
      <c r="P751" s="1"/>
      <c r="Q751" s="2"/>
      <c r="R751" s="2"/>
      <c r="S751" s="2"/>
      <c r="T751" s="2"/>
      <c r="U751" s="2"/>
      <c r="V751" s="1"/>
      <c r="W751" s="1"/>
      <c r="X751" s="1"/>
      <c r="Y751" s="1"/>
      <c r="Z751" s="1"/>
      <c r="AA751" s="1"/>
      <c r="AB751" s="1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1"/>
      <c r="BY751" s="1"/>
      <c r="BZ751" s="1"/>
      <c r="CA751" s="1"/>
      <c r="CB751" s="1"/>
      <c r="CC751" s="1"/>
      <c r="CD751" s="3"/>
      <c r="CE751" s="3"/>
      <c r="CF751" s="1"/>
      <c r="CG751" s="1"/>
      <c r="CH751" s="3"/>
      <c r="CI751" s="3"/>
    </row>
    <row r="752" spans="16:87">
      <c r="P752" s="1"/>
      <c r="Q752" s="2"/>
      <c r="R752" s="2"/>
      <c r="S752" s="2"/>
      <c r="T752" s="2"/>
      <c r="U752" s="2"/>
      <c r="V752" s="1"/>
      <c r="W752" s="1"/>
      <c r="X752" s="1"/>
      <c r="Y752" s="1"/>
      <c r="Z752" s="1"/>
      <c r="AA752" s="1"/>
      <c r="AB752" s="1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1"/>
      <c r="BY752" s="1"/>
      <c r="BZ752" s="1"/>
      <c r="CA752" s="1"/>
      <c r="CB752" s="1"/>
      <c r="CC752" s="1"/>
      <c r="CD752" s="3"/>
      <c r="CE752" s="3"/>
      <c r="CF752" s="1"/>
      <c r="CG752" s="1"/>
      <c r="CH752" s="3"/>
      <c r="CI752" s="3"/>
    </row>
    <row r="753" spans="16:87">
      <c r="P753" s="1"/>
      <c r="Q753" s="2"/>
      <c r="R753" s="2"/>
      <c r="S753" s="2"/>
      <c r="T753" s="2"/>
      <c r="U753" s="2"/>
      <c r="V753" s="1"/>
      <c r="W753" s="1"/>
      <c r="X753" s="1"/>
      <c r="Y753" s="1"/>
      <c r="Z753" s="1"/>
      <c r="AA753" s="1"/>
      <c r="AB753" s="1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1"/>
      <c r="BY753" s="1"/>
      <c r="BZ753" s="1"/>
      <c r="CA753" s="1"/>
      <c r="CB753" s="1"/>
      <c r="CC753" s="1"/>
      <c r="CD753" s="3"/>
      <c r="CE753" s="3"/>
      <c r="CF753" s="1"/>
      <c r="CG753" s="1"/>
      <c r="CH753" s="3"/>
      <c r="CI753" s="3"/>
    </row>
    <row r="754" spans="16:87">
      <c r="P754" s="1"/>
      <c r="Q754" s="2"/>
      <c r="R754" s="2"/>
      <c r="S754" s="2"/>
      <c r="T754" s="2"/>
      <c r="U754" s="2"/>
      <c r="V754" s="1"/>
      <c r="W754" s="1"/>
      <c r="X754" s="1"/>
      <c r="Y754" s="1"/>
      <c r="Z754" s="1"/>
      <c r="AA754" s="1"/>
      <c r="AB754" s="1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1"/>
      <c r="BY754" s="1"/>
      <c r="BZ754" s="1"/>
      <c r="CA754" s="1"/>
      <c r="CB754" s="1"/>
      <c r="CC754" s="1"/>
      <c r="CD754" s="3"/>
      <c r="CE754" s="3"/>
      <c r="CF754" s="1"/>
      <c r="CG754" s="1"/>
      <c r="CH754" s="3"/>
      <c r="CI754" s="3"/>
    </row>
    <row r="755" spans="16:87">
      <c r="P755" s="1"/>
      <c r="Q755" s="2"/>
      <c r="R755" s="2"/>
      <c r="S755" s="2"/>
      <c r="T755" s="2"/>
      <c r="U755" s="2"/>
      <c r="V755" s="1"/>
      <c r="W755" s="1"/>
      <c r="X755" s="1"/>
      <c r="Y755" s="1"/>
      <c r="Z755" s="1"/>
      <c r="AA755" s="1"/>
      <c r="AB755" s="1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1"/>
      <c r="BY755" s="1"/>
      <c r="BZ755" s="1"/>
      <c r="CA755" s="1"/>
      <c r="CB755" s="1"/>
      <c r="CC755" s="1"/>
      <c r="CD755" s="3"/>
      <c r="CE755" s="3"/>
      <c r="CF755" s="1"/>
      <c r="CG755" s="1"/>
      <c r="CH755" s="3"/>
      <c r="CI755" s="3"/>
    </row>
    <row r="756" spans="16:87">
      <c r="P756" s="1"/>
      <c r="Q756" s="2"/>
      <c r="R756" s="2"/>
      <c r="S756" s="2"/>
      <c r="T756" s="2"/>
      <c r="U756" s="2"/>
      <c r="V756" s="1"/>
      <c r="W756" s="1"/>
      <c r="X756" s="1"/>
      <c r="Y756" s="1"/>
      <c r="Z756" s="1"/>
      <c r="AA756" s="1"/>
      <c r="AB756" s="1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1"/>
      <c r="BY756" s="1"/>
      <c r="BZ756" s="1"/>
      <c r="CA756" s="1"/>
      <c r="CB756" s="1"/>
      <c r="CC756" s="1"/>
      <c r="CD756" s="3"/>
      <c r="CE756" s="3"/>
      <c r="CF756" s="1"/>
      <c r="CG756" s="1"/>
      <c r="CH756" s="3"/>
      <c r="CI756" s="3"/>
    </row>
    <row r="757" spans="16:87">
      <c r="P757" s="1"/>
      <c r="Q757" s="2"/>
      <c r="R757" s="2"/>
      <c r="S757" s="2"/>
      <c r="T757" s="2"/>
      <c r="U757" s="2"/>
      <c r="V757" s="1"/>
      <c r="W757" s="1"/>
      <c r="X757" s="1"/>
      <c r="Y757" s="1"/>
      <c r="Z757" s="1"/>
      <c r="AA757" s="1"/>
      <c r="AB757" s="1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1"/>
      <c r="BY757" s="1"/>
      <c r="BZ757" s="1"/>
      <c r="CA757" s="1"/>
      <c r="CB757" s="1"/>
      <c r="CC757" s="1"/>
      <c r="CD757" s="3"/>
      <c r="CE757" s="3"/>
      <c r="CF757" s="1"/>
      <c r="CG757" s="1"/>
      <c r="CH757" s="3"/>
      <c r="CI757" s="3"/>
    </row>
    <row r="758" spans="16:87">
      <c r="P758" s="1"/>
      <c r="Q758" s="2"/>
      <c r="R758" s="2"/>
      <c r="S758" s="2"/>
      <c r="T758" s="2"/>
      <c r="U758" s="2"/>
      <c r="V758" s="1"/>
      <c r="W758" s="1"/>
      <c r="X758" s="1"/>
      <c r="Y758" s="1"/>
      <c r="Z758" s="1"/>
      <c r="AA758" s="1"/>
      <c r="AB758" s="1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1"/>
      <c r="BY758" s="1"/>
      <c r="BZ758" s="1"/>
      <c r="CA758" s="1"/>
      <c r="CB758" s="1"/>
      <c r="CC758" s="1"/>
      <c r="CD758" s="3"/>
      <c r="CE758" s="3"/>
      <c r="CF758" s="1"/>
      <c r="CG758" s="1"/>
      <c r="CH758" s="3"/>
      <c r="CI758" s="3"/>
    </row>
    <row r="759" spans="16:87">
      <c r="P759" s="1"/>
      <c r="Q759" s="2"/>
      <c r="R759" s="2"/>
      <c r="S759" s="2"/>
      <c r="T759" s="2"/>
      <c r="U759" s="2"/>
      <c r="V759" s="1"/>
      <c r="W759" s="1"/>
      <c r="X759" s="1"/>
      <c r="Y759" s="1"/>
      <c r="Z759" s="1"/>
      <c r="AA759" s="1"/>
      <c r="AB759" s="1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1"/>
      <c r="BY759" s="1"/>
      <c r="BZ759" s="1"/>
      <c r="CA759" s="1"/>
      <c r="CB759" s="1"/>
      <c r="CC759" s="1"/>
      <c r="CD759" s="3"/>
      <c r="CE759" s="3"/>
      <c r="CF759" s="1"/>
      <c r="CG759" s="1"/>
      <c r="CH759" s="3"/>
      <c r="CI759" s="3"/>
    </row>
    <row r="760" spans="16:87">
      <c r="P760" s="1"/>
      <c r="Q760" s="2"/>
      <c r="R760" s="2"/>
      <c r="S760" s="2"/>
      <c r="T760" s="2"/>
      <c r="U760" s="2"/>
      <c r="V760" s="1"/>
      <c r="W760" s="1"/>
      <c r="X760" s="1"/>
      <c r="Y760" s="1"/>
      <c r="Z760" s="1"/>
      <c r="AA760" s="1"/>
      <c r="AB760" s="1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1"/>
      <c r="BY760" s="1"/>
      <c r="BZ760" s="1"/>
      <c r="CA760" s="1"/>
      <c r="CB760" s="1"/>
      <c r="CC760" s="1"/>
      <c r="CD760" s="3"/>
      <c r="CE760" s="3"/>
      <c r="CF760" s="1"/>
      <c r="CG760" s="1"/>
      <c r="CH760" s="3"/>
      <c r="CI760" s="3"/>
    </row>
    <row r="761" spans="16:87">
      <c r="P761" s="1"/>
      <c r="Q761" s="2"/>
      <c r="R761" s="2"/>
      <c r="S761" s="2"/>
      <c r="T761" s="2"/>
      <c r="U761" s="2"/>
      <c r="V761" s="1"/>
      <c r="W761" s="1"/>
      <c r="X761" s="1"/>
      <c r="Y761" s="1"/>
      <c r="Z761" s="1"/>
      <c r="AA761" s="1"/>
      <c r="AB761" s="1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1"/>
      <c r="BY761" s="1"/>
      <c r="BZ761" s="1"/>
      <c r="CA761" s="1"/>
      <c r="CB761" s="1"/>
      <c r="CC761" s="1"/>
      <c r="CD761" s="3"/>
      <c r="CE761" s="3"/>
      <c r="CF761" s="1"/>
      <c r="CG761" s="1"/>
      <c r="CH761" s="3"/>
      <c r="CI761" s="3"/>
    </row>
    <row r="762" spans="16:87">
      <c r="P762" s="1"/>
      <c r="Q762" s="2"/>
      <c r="R762" s="2"/>
      <c r="S762" s="2"/>
      <c r="T762" s="2"/>
      <c r="U762" s="2"/>
      <c r="V762" s="1"/>
      <c r="W762" s="1"/>
      <c r="X762" s="1"/>
      <c r="Y762" s="1"/>
      <c r="Z762" s="1"/>
      <c r="AA762" s="1"/>
      <c r="AB762" s="1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1"/>
      <c r="BY762" s="1"/>
      <c r="BZ762" s="1"/>
      <c r="CA762" s="1"/>
      <c r="CB762" s="1"/>
      <c r="CC762" s="1"/>
      <c r="CD762" s="3"/>
      <c r="CE762" s="3"/>
      <c r="CF762" s="1"/>
      <c r="CG762" s="1"/>
      <c r="CH762" s="3"/>
      <c r="CI762" s="3"/>
    </row>
    <row r="763" spans="16:87">
      <c r="P763" s="1"/>
      <c r="Q763" s="2"/>
      <c r="R763" s="2"/>
      <c r="S763" s="2"/>
      <c r="T763" s="2"/>
      <c r="U763" s="2"/>
      <c r="V763" s="1"/>
      <c r="W763" s="1"/>
      <c r="X763" s="1"/>
      <c r="Y763" s="1"/>
      <c r="Z763" s="1"/>
      <c r="AA763" s="1"/>
      <c r="AB763" s="1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1"/>
      <c r="BY763" s="1"/>
      <c r="BZ763" s="1"/>
      <c r="CA763" s="1"/>
      <c r="CB763" s="1"/>
      <c r="CC763" s="1"/>
      <c r="CD763" s="3"/>
      <c r="CE763" s="3"/>
      <c r="CF763" s="1"/>
      <c r="CG763" s="1"/>
      <c r="CH763" s="3"/>
      <c r="CI763" s="3"/>
    </row>
    <row r="764" spans="16:87">
      <c r="P764" s="1"/>
      <c r="Q764" s="2"/>
      <c r="R764" s="2"/>
      <c r="S764" s="2"/>
      <c r="T764" s="2"/>
      <c r="U764" s="2"/>
      <c r="V764" s="1"/>
      <c r="W764" s="1"/>
      <c r="X764" s="1"/>
      <c r="Y764" s="1"/>
      <c r="Z764" s="1"/>
      <c r="AA764" s="1"/>
      <c r="AB764" s="1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1"/>
      <c r="BY764" s="1"/>
      <c r="BZ764" s="1"/>
      <c r="CA764" s="1"/>
      <c r="CB764" s="1"/>
      <c r="CC764" s="1"/>
      <c r="CD764" s="3"/>
      <c r="CE764" s="3"/>
      <c r="CF764" s="1"/>
      <c r="CG764" s="1"/>
      <c r="CH764" s="3"/>
      <c r="CI764" s="3"/>
    </row>
    <row r="765" spans="16:87">
      <c r="P765" s="1"/>
      <c r="Q765" s="2"/>
      <c r="R765" s="2"/>
      <c r="S765" s="2"/>
      <c r="T765" s="2"/>
      <c r="U765" s="2"/>
      <c r="V765" s="1"/>
      <c r="W765" s="1"/>
      <c r="X765" s="1"/>
      <c r="Y765" s="1"/>
      <c r="Z765" s="1"/>
      <c r="AA765" s="1"/>
      <c r="AB765" s="1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1"/>
      <c r="BY765" s="1"/>
      <c r="BZ765" s="1"/>
      <c r="CA765" s="1"/>
      <c r="CB765" s="1"/>
      <c r="CC765" s="1"/>
      <c r="CD765" s="3"/>
      <c r="CE765" s="3"/>
      <c r="CF765" s="1"/>
      <c r="CG765" s="1"/>
      <c r="CH765" s="3"/>
      <c r="CI765" s="3"/>
    </row>
    <row r="766" spans="16:87">
      <c r="P766" s="1"/>
      <c r="Q766" s="2"/>
      <c r="R766" s="2"/>
      <c r="S766" s="2"/>
      <c r="T766" s="2"/>
      <c r="U766" s="2"/>
      <c r="V766" s="1"/>
      <c r="W766" s="1"/>
      <c r="X766" s="1"/>
      <c r="Y766" s="1"/>
      <c r="Z766" s="1"/>
      <c r="AA766" s="1"/>
      <c r="AB766" s="1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1"/>
      <c r="BY766" s="1"/>
      <c r="BZ766" s="1"/>
      <c r="CA766" s="1"/>
      <c r="CB766" s="1"/>
      <c r="CC766" s="1"/>
      <c r="CD766" s="3"/>
      <c r="CE766" s="3"/>
      <c r="CF766" s="1"/>
      <c r="CG766" s="1"/>
      <c r="CH766" s="3"/>
      <c r="CI766" s="3"/>
    </row>
    <row r="767" spans="16:87">
      <c r="P767" s="1"/>
      <c r="Q767" s="2"/>
      <c r="R767" s="2"/>
      <c r="S767" s="2"/>
      <c r="T767" s="2"/>
      <c r="U767" s="2"/>
      <c r="V767" s="1"/>
      <c r="W767" s="1"/>
      <c r="X767" s="1"/>
      <c r="Y767" s="1"/>
      <c r="Z767" s="1"/>
      <c r="AA767" s="1"/>
      <c r="AB767" s="1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1"/>
      <c r="BY767" s="1"/>
      <c r="BZ767" s="1"/>
      <c r="CA767" s="1"/>
      <c r="CB767" s="1"/>
      <c r="CC767" s="1"/>
      <c r="CD767" s="3"/>
      <c r="CE767" s="3"/>
      <c r="CF767" s="1"/>
      <c r="CG767" s="1"/>
      <c r="CH767" s="3"/>
      <c r="CI767" s="3"/>
    </row>
    <row r="768" spans="16:87">
      <c r="P768" s="1"/>
      <c r="Q768" s="2"/>
      <c r="R768" s="2"/>
      <c r="S768" s="2"/>
      <c r="T768" s="2"/>
      <c r="U768" s="2"/>
      <c r="V768" s="1"/>
      <c r="W768" s="1"/>
      <c r="X768" s="1"/>
      <c r="Y768" s="1"/>
      <c r="Z768" s="1"/>
      <c r="AA768" s="1"/>
      <c r="AB768" s="1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1"/>
      <c r="BY768" s="1"/>
      <c r="BZ768" s="1"/>
      <c r="CA768" s="1"/>
      <c r="CB768" s="1"/>
      <c r="CC768" s="1"/>
      <c r="CD768" s="3"/>
      <c r="CE768" s="3"/>
      <c r="CF768" s="1"/>
      <c r="CG768" s="1"/>
      <c r="CH768" s="3"/>
      <c r="CI768" s="3"/>
    </row>
    <row r="769" spans="16:87">
      <c r="P769" s="1"/>
      <c r="Q769" s="2"/>
      <c r="R769" s="2"/>
      <c r="S769" s="2"/>
      <c r="T769" s="2"/>
      <c r="U769" s="2"/>
      <c r="V769" s="1"/>
      <c r="W769" s="1"/>
      <c r="X769" s="1"/>
      <c r="Y769" s="1"/>
      <c r="Z769" s="1"/>
      <c r="AA769" s="1"/>
      <c r="AB769" s="1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1"/>
      <c r="BY769" s="1"/>
      <c r="BZ769" s="1"/>
      <c r="CA769" s="1"/>
      <c r="CB769" s="1"/>
      <c r="CC769" s="1"/>
      <c r="CD769" s="3"/>
      <c r="CE769" s="3"/>
      <c r="CF769" s="1"/>
      <c r="CG769" s="1"/>
      <c r="CH769" s="3"/>
      <c r="CI769" s="3"/>
    </row>
    <row r="770" spans="16:87">
      <c r="P770" s="1"/>
      <c r="Q770" s="2"/>
      <c r="R770" s="2"/>
      <c r="S770" s="2"/>
      <c r="T770" s="2"/>
      <c r="U770" s="2"/>
      <c r="V770" s="1"/>
      <c r="W770" s="1"/>
      <c r="X770" s="1"/>
      <c r="Y770" s="1"/>
      <c r="Z770" s="1"/>
      <c r="AA770" s="1"/>
      <c r="AB770" s="1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1"/>
      <c r="BY770" s="1"/>
      <c r="BZ770" s="1"/>
      <c r="CA770" s="1"/>
      <c r="CB770" s="1"/>
      <c r="CC770" s="1"/>
      <c r="CD770" s="3"/>
      <c r="CE770" s="3"/>
      <c r="CF770" s="1"/>
      <c r="CG770" s="1"/>
      <c r="CH770" s="3"/>
      <c r="CI770" s="3"/>
    </row>
    <row r="771" spans="16:87">
      <c r="P771" s="1"/>
      <c r="Q771" s="2"/>
      <c r="R771" s="2"/>
      <c r="S771" s="2"/>
      <c r="T771" s="2"/>
      <c r="U771" s="2"/>
      <c r="V771" s="1"/>
      <c r="W771" s="1"/>
      <c r="X771" s="1"/>
      <c r="Y771" s="1"/>
      <c r="Z771" s="1"/>
      <c r="AA771" s="1"/>
      <c r="AB771" s="1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1"/>
      <c r="BY771" s="1"/>
      <c r="BZ771" s="1"/>
      <c r="CA771" s="1"/>
      <c r="CB771" s="1"/>
      <c r="CC771" s="1"/>
      <c r="CD771" s="3"/>
      <c r="CE771" s="3"/>
      <c r="CF771" s="1"/>
      <c r="CG771" s="1"/>
      <c r="CH771" s="3"/>
      <c r="CI771" s="3"/>
    </row>
    <row r="772" spans="16:87">
      <c r="P772" s="1"/>
      <c r="Q772" s="2"/>
      <c r="R772" s="2"/>
      <c r="S772" s="2"/>
      <c r="T772" s="2"/>
      <c r="U772" s="2"/>
      <c r="V772" s="1"/>
      <c r="W772" s="1"/>
      <c r="X772" s="1"/>
      <c r="Y772" s="1"/>
      <c r="Z772" s="1"/>
      <c r="AA772" s="1"/>
      <c r="AB772" s="1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1"/>
      <c r="BY772" s="1"/>
      <c r="BZ772" s="1"/>
      <c r="CA772" s="1"/>
      <c r="CB772" s="1"/>
      <c r="CC772" s="1"/>
      <c r="CD772" s="3"/>
      <c r="CE772" s="3"/>
      <c r="CF772" s="1"/>
      <c r="CG772" s="1"/>
      <c r="CH772" s="3"/>
      <c r="CI772" s="3"/>
    </row>
    <row r="773" spans="16:87">
      <c r="P773" s="1"/>
      <c r="Q773" s="2"/>
      <c r="R773" s="2"/>
      <c r="S773" s="2"/>
      <c r="T773" s="2"/>
      <c r="U773" s="2"/>
      <c r="V773" s="1"/>
      <c r="W773" s="1"/>
      <c r="X773" s="1"/>
      <c r="Y773" s="1"/>
      <c r="Z773" s="1"/>
      <c r="AA773" s="1"/>
      <c r="AB773" s="1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1"/>
      <c r="BY773" s="1"/>
      <c r="BZ773" s="1"/>
      <c r="CA773" s="1"/>
      <c r="CB773" s="1"/>
      <c r="CC773" s="1"/>
      <c r="CD773" s="3"/>
      <c r="CE773" s="3"/>
      <c r="CF773" s="1"/>
      <c r="CG773" s="1"/>
      <c r="CH773" s="3"/>
      <c r="CI773" s="3"/>
    </row>
    <row r="774" spans="16:87">
      <c r="P774" s="1"/>
      <c r="Q774" s="2"/>
      <c r="R774" s="2"/>
      <c r="S774" s="2"/>
      <c r="T774" s="2"/>
      <c r="U774" s="2"/>
      <c r="V774" s="1"/>
      <c r="W774" s="1"/>
      <c r="X774" s="1"/>
      <c r="Y774" s="1"/>
      <c r="Z774" s="1"/>
      <c r="AA774" s="1"/>
      <c r="AB774" s="1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1"/>
      <c r="BY774" s="1"/>
      <c r="BZ774" s="1"/>
      <c r="CA774" s="1"/>
      <c r="CB774" s="1"/>
      <c r="CC774" s="1"/>
      <c r="CD774" s="3"/>
      <c r="CE774" s="3"/>
      <c r="CF774" s="1"/>
      <c r="CG774" s="1"/>
      <c r="CH774" s="3"/>
      <c r="CI774" s="3"/>
    </row>
    <row r="775" spans="16:87">
      <c r="P775" s="1"/>
      <c r="Q775" s="2"/>
      <c r="R775" s="2"/>
      <c r="S775" s="2"/>
      <c r="T775" s="2"/>
      <c r="U775" s="2"/>
      <c r="V775" s="1"/>
      <c r="W775" s="1"/>
      <c r="X775" s="1"/>
      <c r="Y775" s="1"/>
      <c r="Z775" s="1"/>
      <c r="AA775" s="1"/>
      <c r="AB775" s="1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1"/>
      <c r="BY775" s="1"/>
      <c r="BZ775" s="1"/>
      <c r="CA775" s="1"/>
      <c r="CB775" s="1"/>
      <c r="CC775" s="1"/>
      <c r="CD775" s="3"/>
      <c r="CE775" s="3"/>
      <c r="CF775" s="1"/>
      <c r="CG775" s="1"/>
      <c r="CH775" s="3"/>
      <c r="CI775" s="3"/>
    </row>
    <row r="776" spans="16:87">
      <c r="P776" s="1"/>
      <c r="Q776" s="2"/>
      <c r="R776" s="2"/>
      <c r="S776" s="2"/>
      <c r="T776" s="2"/>
      <c r="U776" s="2"/>
      <c r="V776" s="1"/>
      <c r="W776" s="1"/>
      <c r="X776" s="1"/>
      <c r="Y776" s="1"/>
      <c r="Z776" s="1"/>
      <c r="AA776" s="1"/>
      <c r="AB776" s="1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1"/>
      <c r="BY776" s="1"/>
      <c r="BZ776" s="1"/>
      <c r="CA776" s="1"/>
      <c r="CB776" s="1"/>
      <c r="CC776" s="1"/>
      <c r="CD776" s="3"/>
      <c r="CE776" s="3"/>
      <c r="CF776" s="1"/>
      <c r="CG776" s="1"/>
      <c r="CH776" s="3"/>
      <c r="CI776" s="3"/>
    </row>
    <row r="777" spans="16:87">
      <c r="P777" s="1"/>
      <c r="Q777" s="2"/>
      <c r="R777" s="2"/>
      <c r="S777" s="2"/>
      <c r="T777" s="2"/>
      <c r="U777" s="2"/>
      <c r="V777" s="1"/>
      <c r="W777" s="1"/>
      <c r="X777" s="1"/>
      <c r="Y777" s="1"/>
      <c r="Z777" s="1"/>
      <c r="AA777" s="1"/>
      <c r="AB777" s="1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1"/>
      <c r="BY777" s="1"/>
      <c r="BZ777" s="1"/>
      <c r="CA777" s="1"/>
      <c r="CB777" s="1"/>
      <c r="CC777" s="1"/>
      <c r="CD777" s="3"/>
      <c r="CE777" s="3"/>
      <c r="CF777" s="1"/>
      <c r="CG777" s="1"/>
      <c r="CH777" s="3"/>
      <c r="CI777" s="3"/>
    </row>
    <row r="778" spans="16:87">
      <c r="P778" s="1"/>
      <c r="Q778" s="2"/>
      <c r="R778" s="2"/>
      <c r="S778" s="2"/>
      <c r="T778" s="2"/>
      <c r="U778" s="2"/>
      <c r="V778" s="1"/>
      <c r="W778" s="1"/>
      <c r="X778" s="1"/>
      <c r="Y778" s="1"/>
      <c r="Z778" s="1"/>
      <c r="AA778" s="1"/>
      <c r="AB778" s="1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1"/>
      <c r="BY778" s="1"/>
      <c r="BZ778" s="1"/>
      <c r="CA778" s="1"/>
      <c r="CB778" s="1"/>
      <c r="CC778" s="1"/>
      <c r="CD778" s="3"/>
      <c r="CE778" s="3"/>
      <c r="CF778" s="1"/>
      <c r="CG778" s="1"/>
      <c r="CH778" s="3"/>
      <c r="CI778" s="3"/>
    </row>
    <row r="779" spans="16:87">
      <c r="P779" s="1"/>
      <c r="Q779" s="2"/>
      <c r="R779" s="2"/>
      <c r="S779" s="2"/>
      <c r="T779" s="2"/>
      <c r="U779" s="2"/>
      <c r="V779" s="1"/>
      <c r="W779" s="1"/>
      <c r="X779" s="1"/>
      <c r="Y779" s="1"/>
      <c r="Z779" s="1"/>
      <c r="AA779" s="1"/>
      <c r="AB779" s="1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1"/>
      <c r="BY779" s="1"/>
      <c r="BZ779" s="1"/>
      <c r="CA779" s="1"/>
      <c r="CB779" s="1"/>
      <c r="CC779" s="1"/>
      <c r="CD779" s="3"/>
      <c r="CE779" s="3"/>
      <c r="CF779" s="1"/>
      <c r="CG779" s="1"/>
      <c r="CH779" s="3"/>
      <c r="CI779" s="3"/>
    </row>
    <row r="780" spans="16:87">
      <c r="P780" s="1"/>
      <c r="Q780" s="2"/>
      <c r="R780" s="2"/>
      <c r="S780" s="2"/>
      <c r="T780" s="2"/>
      <c r="U780" s="2"/>
      <c r="V780" s="1"/>
      <c r="W780" s="1"/>
      <c r="X780" s="1"/>
      <c r="Y780" s="1"/>
      <c r="Z780" s="1"/>
      <c r="AA780" s="1"/>
      <c r="AB780" s="1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1"/>
      <c r="BY780" s="1"/>
      <c r="BZ780" s="1"/>
      <c r="CA780" s="1"/>
      <c r="CB780" s="1"/>
      <c r="CC780" s="1"/>
      <c r="CD780" s="3"/>
      <c r="CE780" s="3"/>
      <c r="CF780" s="1"/>
      <c r="CG780" s="1"/>
      <c r="CH780" s="3"/>
      <c r="CI780" s="3"/>
    </row>
    <row r="781" spans="16:87">
      <c r="P781" s="1"/>
      <c r="Q781" s="2"/>
      <c r="R781" s="2"/>
      <c r="S781" s="2"/>
      <c r="T781" s="2"/>
      <c r="U781" s="2"/>
      <c r="V781" s="1"/>
      <c r="W781" s="1"/>
      <c r="X781" s="1"/>
      <c r="Y781" s="1"/>
      <c r="Z781" s="1"/>
      <c r="AA781" s="1"/>
      <c r="AB781" s="1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1"/>
      <c r="BY781" s="1"/>
      <c r="BZ781" s="1"/>
      <c r="CA781" s="1"/>
      <c r="CB781" s="1"/>
      <c r="CC781" s="1"/>
      <c r="CD781" s="3"/>
      <c r="CE781" s="3"/>
      <c r="CF781" s="1"/>
      <c r="CG781" s="1"/>
      <c r="CH781" s="3"/>
      <c r="CI781" s="3"/>
    </row>
    <row r="782" spans="16:87">
      <c r="P782" s="1"/>
      <c r="Q782" s="2"/>
      <c r="R782" s="2"/>
      <c r="S782" s="2"/>
      <c r="T782" s="2"/>
      <c r="U782" s="2"/>
      <c r="V782" s="1"/>
      <c r="W782" s="1"/>
      <c r="X782" s="1"/>
      <c r="Y782" s="1"/>
      <c r="Z782" s="1"/>
      <c r="AA782" s="1"/>
      <c r="AB782" s="1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1"/>
      <c r="BY782" s="1"/>
      <c r="BZ782" s="1"/>
      <c r="CA782" s="1"/>
      <c r="CB782" s="1"/>
      <c r="CC782" s="1"/>
      <c r="CD782" s="3"/>
      <c r="CE782" s="3"/>
      <c r="CF782" s="1"/>
      <c r="CG782" s="1"/>
      <c r="CH782" s="3"/>
      <c r="CI782" s="3"/>
    </row>
    <row r="783" spans="16:87">
      <c r="P783" s="1"/>
      <c r="Q783" s="2"/>
      <c r="R783" s="2"/>
      <c r="S783" s="2"/>
      <c r="T783" s="2"/>
      <c r="U783" s="2"/>
      <c r="V783" s="1"/>
      <c r="W783" s="1"/>
      <c r="X783" s="1"/>
      <c r="Y783" s="1"/>
      <c r="Z783" s="1"/>
      <c r="AA783" s="1"/>
      <c r="AB783" s="1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1"/>
      <c r="BY783" s="1"/>
      <c r="BZ783" s="1"/>
      <c r="CA783" s="1"/>
      <c r="CB783" s="1"/>
      <c r="CC783" s="1"/>
      <c r="CD783" s="3"/>
      <c r="CE783" s="3"/>
      <c r="CF783" s="1"/>
      <c r="CG783" s="1"/>
      <c r="CH783" s="3"/>
      <c r="CI783" s="3"/>
    </row>
    <row r="784" spans="16:87">
      <c r="P784" s="1"/>
      <c r="Q784" s="2"/>
      <c r="R784" s="2"/>
      <c r="S784" s="2"/>
      <c r="T784" s="2"/>
      <c r="U784" s="2"/>
      <c r="V784" s="1"/>
      <c r="W784" s="1"/>
      <c r="X784" s="1"/>
      <c r="Y784" s="1"/>
      <c r="Z784" s="1"/>
      <c r="AA784" s="1"/>
      <c r="AB784" s="1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1"/>
      <c r="BY784" s="1"/>
      <c r="BZ784" s="1"/>
      <c r="CA784" s="1"/>
      <c r="CB784" s="1"/>
      <c r="CC784" s="1"/>
      <c r="CD784" s="3"/>
      <c r="CE784" s="3"/>
      <c r="CF784" s="1"/>
      <c r="CG784" s="1"/>
      <c r="CH784" s="3"/>
      <c r="CI784" s="3"/>
    </row>
    <row r="785" spans="16:87">
      <c r="P785" s="1"/>
      <c r="Q785" s="2"/>
      <c r="R785" s="2"/>
      <c r="S785" s="2"/>
      <c r="T785" s="2"/>
      <c r="U785" s="2"/>
      <c r="V785" s="1"/>
      <c r="W785" s="1"/>
      <c r="X785" s="1"/>
      <c r="Y785" s="1"/>
      <c r="Z785" s="1"/>
      <c r="AA785" s="1"/>
      <c r="AB785" s="1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1"/>
      <c r="BY785" s="1"/>
      <c r="BZ785" s="1"/>
      <c r="CA785" s="1"/>
      <c r="CB785" s="1"/>
      <c r="CC785" s="1"/>
      <c r="CD785" s="3"/>
      <c r="CE785" s="3"/>
      <c r="CF785" s="1"/>
      <c r="CG785" s="1"/>
      <c r="CH785" s="3"/>
      <c r="CI785" s="3"/>
    </row>
    <row r="786" spans="16:87">
      <c r="P786" s="1"/>
      <c r="Q786" s="2"/>
      <c r="R786" s="2"/>
      <c r="S786" s="2"/>
      <c r="T786" s="2"/>
      <c r="U786" s="2"/>
      <c r="V786" s="1"/>
      <c r="W786" s="1"/>
      <c r="X786" s="1"/>
      <c r="Y786" s="1"/>
      <c r="Z786" s="1"/>
      <c r="AA786" s="1"/>
      <c r="AB786" s="1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1"/>
      <c r="BY786" s="1"/>
      <c r="BZ786" s="1"/>
      <c r="CA786" s="1"/>
      <c r="CB786" s="1"/>
      <c r="CC786" s="1"/>
      <c r="CD786" s="3"/>
      <c r="CE786" s="3"/>
      <c r="CF786" s="1"/>
      <c r="CG786" s="1"/>
      <c r="CH786" s="3"/>
      <c r="CI786" s="3"/>
    </row>
    <row r="787" spans="16:87">
      <c r="P787" s="1"/>
      <c r="Q787" s="2"/>
      <c r="R787" s="2"/>
      <c r="S787" s="2"/>
      <c r="T787" s="2"/>
      <c r="U787" s="2"/>
      <c r="V787" s="1"/>
      <c r="W787" s="1"/>
      <c r="X787" s="1"/>
      <c r="Y787" s="1"/>
      <c r="Z787" s="1"/>
      <c r="AA787" s="1"/>
      <c r="AB787" s="1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1"/>
      <c r="BY787" s="1"/>
      <c r="BZ787" s="1"/>
      <c r="CA787" s="1"/>
      <c r="CB787" s="1"/>
      <c r="CC787" s="1"/>
      <c r="CD787" s="3"/>
      <c r="CE787" s="3"/>
      <c r="CF787" s="1"/>
      <c r="CG787" s="1"/>
      <c r="CH787" s="3"/>
      <c r="CI787" s="3"/>
    </row>
    <row r="788" spans="16:87">
      <c r="P788" s="1"/>
      <c r="Q788" s="2"/>
      <c r="R788" s="2"/>
      <c r="S788" s="2"/>
      <c r="T788" s="2"/>
      <c r="U788" s="2"/>
      <c r="V788" s="1"/>
      <c r="W788" s="1"/>
      <c r="X788" s="1"/>
      <c r="Y788" s="1"/>
      <c r="Z788" s="1"/>
      <c r="AA788" s="1"/>
      <c r="AB788" s="1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1"/>
      <c r="BY788" s="1"/>
      <c r="BZ788" s="1"/>
      <c r="CA788" s="1"/>
      <c r="CB788" s="1"/>
      <c r="CC788" s="1"/>
      <c r="CD788" s="3"/>
      <c r="CE788" s="3"/>
      <c r="CF788" s="1"/>
      <c r="CG788" s="1"/>
      <c r="CH788" s="3"/>
      <c r="CI788" s="3"/>
    </row>
    <row r="789" spans="16:87">
      <c r="P789" s="1"/>
      <c r="Q789" s="2"/>
      <c r="R789" s="2"/>
      <c r="S789" s="2"/>
      <c r="T789" s="2"/>
      <c r="U789" s="2"/>
      <c r="V789" s="1"/>
      <c r="W789" s="1"/>
      <c r="X789" s="1"/>
      <c r="Y789" s="1"/>
      <c r="Z789" s="1"/>
      <c r="AA789" s="1"/>
      <c r="AB789" s="1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1"/>
      <c r="BY789" s="1"/>
      <c r="BZ789" s="1"/>
      <c r="CA789" s="1"/>
      <c r="CB789" s="1"/>
      <c r="CC789" s="1"/>
      <c r="CD789" s="3"/>
      <c r="CE789" s="3"/>
      <c r="CF789" s="1"/>
      <c r="CG789" s="1"/>
      <c r="CH789" s="3"/>
      <c r="CI789" s="3"/>
    </row>
    <row r="790" spans="16:87">
      <c r="P790" s="1"/>
      <c r="Q790" s="2"/>
      <c r="R790" s="2"/>
      <c r="S790" s="2"/>
      <c r="T790" s="2"/>
      <c r="U790" s="2"/>
      <c r="V790" s="1"/>
      <c r="W790" s="1"/>
      <c r="X790" s="1"/>
      <c r="Y790" s="1"/>
      <c r="Z790" s="1"/>
      <c r="AA790" s="1"/>
      <c r="AB790" s="1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1"/>
      <c r="BY790" s="1"/>
      <c r="BZ790" s="1"/>
      <c r="CA790" s="1"/>
      <c r="CB790" s="1"/>
      <c r="CC790" s="1"/>
      <c r="CD790" s="3"/>
      <c r="CE790" s="3"/>
      <c r="CF790" s="1"/>
      <c r="CG790" s="1"/>
      <c r="CH790" s="3"/>
      <c r="CI790" s="3"/>
    </row>
    <row r="791" spans="16:87">
      <c r="P791" s="1"/>
      <c r="Q791" s="2"/>
      <c r="R791" s="2"/>
      <c r="S791" s="2"/>
      <c r="T791" s="2"/>
      <c r="U791" s="2"/>
      <c r="V791" s="1"/>
      <c r="W791" s="1"/>
      <c r="X791" s="1"/>
      <c r="Y791" s="1"/>
      <c r="Z791" s="1"/>
      <c r="AA791" s="1"/>
      <c r="AB791" s="1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1"/>
      <c r="BY791" s="1"/>
      <c r="BZ791" s="1"/>
      <c r="CA791" s="1"/>
      <c r="CB791" s="1"/>
      <c r="CC791" s="1"/>
      <c r="CD791" s="3"/>
      <c r="CE791" s="3"/>
      <c r="CF791" s="1"/>
      <c r="CG791" s="1"/>
      <c r="CH791" s="3"/>
      <c r="CI791" s="3"/>
    </row>
    <row r="792" spans="16:87">
      <c r="P792" s="1"/>
      <c r="Q792" s="2"/>
      <c r="R792" s="2"/>
      <c r="S792" s="2"/>
      <c r="T792" s="2"/>
      <c r="U792" s="2"/>
      <c r="V792" s="1"/>
      <c r="W792" s="1"/>
      <c r="X792" s="1"/>
      <c r="Y792" s="1"/>
      <c r="Z792" s="1"/>
      <c r="AA792" s="1"/>
      <c r="AB792" s="1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1"/>
      <c r="BY792" s="1"/>
      <c r="BZ792" s="1"/>
      <c r="CA792" s="1"/>
      <c r="CB792" s="1"/>
      <c r="CC792" s="1"/>
      <c r="CD792" s="3"/>
      <c r="CE792" s="3"/>
      <c r="CF792" s="1"/>
      <c r="CG792" s="1"/>
      <c r="CH792" s="3"/>
      <c r="CI792" s="3"/>
    </row>
    <row r="793" spans="16:87">
      <c r="P793" s="1"/>
      <c r="Q793" s="2"/>
      <c r="R793" s="2"/>
      <c r="S793" s="2"/>
      <c r="T793" s="2"/>
      <c r="U793" s="2"/>
      <c r="V793" s="1"/>
      <c r="W793" s="1"/>
      <c r="X793" s="1"/>
      <c r="Y793" s="1"/>
      <c r="Z793" s="1"/>
      <c r="AA793" s="1"/>
      <c r="AB793" s="1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1"/>
      <c r="BY793" s="1"/>
      <c r="BZ793" s="1"/>
      <c r="CA793" s="1"/>
      <c r="CB793" s="1"/>
      <c r="CC793" s="1"/>
      <c r="CD793" s="3"/>
      <c r="CE793" s="3"/>
      <c r="CF793" s="1"/>
      <c r="CG793" s="1"/>
      <c r="CH793" s="3"/>
      <c r="CI793" s="3"/>
    </row>
    <row r="794" spans="16:87">
      <c r="P794" s="1"/>
      <c r="Q794" s="2"/>
      <c r="R794" s="2"/>
      <c r="S794" s="2"/>
      <c r="T794" s="2"/>
      <c r="U794" s="2"/>
      <c r="V794" s="1"/>
      <c r="W794" s="1"/>
      <c r="X794" s="1"/>
      <c r="Y794" s="1"/>
      <c r="Z794" s="1"/>
      <c r="AA794" s="1"/>
      <c r="AB794" s="1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1"/>
      <c r="BY794" s="1"/>
      <c r="BZ794" s="1"/>
      <c r="CA794" s="1"/>
      <c r="CB794" s="1"/>
      <c r="CC794" s="1"/>
      <c r="CD794" s="3"/>
      <c r="CE794" s="3"/>
      <c r="CF794" s="1"/>
      <c r="CG794" s="1"/>
      <c r="CH794" s="3"/>
      <c r="CI794" s="3"/>
    </row>
    <row r="795" spans="16:87">
      <c r="P795" s="1"/>
      <c r="Q795" s="2"/>
      <c r="R795" s="2"/>
      <c r="S795" s="2"/>
      <c r="T795" s="2"/>
      <c r="U795" s="2"/>
      <c r="V795" s="1"/>
      <c r="W795" s="1"/>
      <c r="X795" s="1"/>
      <c r="Y795" s="1"/>
      <c r="Z795" s="1"/>
      <c r="AA795" s="1"/>
      <c r="AB795" s="1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1"/>
      <c r="BY795" s="1"/>
      <c r="BZ795" s="1"/>
      <c r="CA795" s="1"/>
      <c r="CB795" s="1"/>
      <c r="CC795" s="1"/>
      <c r="CD795" s="3"/>
      <c r="CE795" s="3"/>
      <c r="CF795" s="1"/>
      <c r="CG795" s="1"/>
      <c r="CH795" s="3"/>
      <c r="CI795" s="3"/>
    </row>
    <row r="796" spans="16:87">
      <c r="P796" s="1"/>
      <c r="Q796" s="2"/>
      <c r="R796" s="2"/>
      <c r="S796" s="2"/>
      <c r="T796" s="2"/>
      <c r="U796" s="2"/>
      <c r="V796" s="1"/>
      <c r="W796" s="1"/>
      <c r="X796" s="1"/>
      <c r="Y796" s="1"/>
      <c r="Z796" s="1"/>
      <c r="AA796" s="1"/>
      <c r="AB796" s="1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1"/>
      <c r="BY796" s="1"/>
      <c r="BZ796" s="1"/>
      <c r="CA796" s="1"/>
      <c r="CB796" s="1"/>
      <c r="CC796" s="1"/>
      <c r="CD796" s="3"/>
      <c r="CE796" s="3"/>
      <c r="CF796" s="1"/>
      <c r="CG796" s="1"/>
      <c r="CH796" s="3"/>
      <c r="CI796" s="3"/>
    </row>
    <row r="797" spans="16:87">
      <c r="P797" s="1"/>
      <c r="Q797" s="2"/>
      <c r="R797" s="2"/>
      <c r="S797" s="2"/>
      <c r="T797" s="2"/>
      <c r="U797" s="2"/>
      <c r="V797" s="1"/>
      <c r="W797" s="1"/>
      <c r="X797" s="1"/>
      <c r="Y797" s="1"/>
      <c r="Z797" s="1"/>
      <c r="AA797" s="1"/>
      <c r="AB797" s="1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1"/>
      <c r="BY797" s="1"/>
      <c r="BZ797" s="1"/>
      <c r="CA797" s="1"/>
      <c r="CB797" s="1"/>
      <c r="CC797" s="1"/>
      <c r="CD797" s="3"/>
      <c r="CE797" s="3"/>
      <c r="CF797" s="1"/>
      <c r="CG797" s="1"/>
      <c r="CH797" s="3"/>
      <c r="CI797" s="3"/>
    </row>
    <row r="798" spans="16:87">
      <c r="P798" s="1"/>
      <c r="Q798" s="2"/>
      <c r="R798" s="2"/>
      <c r="S798" s="2"/>
      <c r="T798" s="2"/>
      <c r="U798" s="2"/>
      <c r="V798" s="1"/>
      <c r="W798" s="1"/>
      <c r="X798" s="1"/>
      <c r="Y798" s="1"/>
      <c r="Z798" s="1"/>
      <c r="AA798" s="1"/>
      <c r="AB798" s="1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1"/>
      <c r="BY798" s="1"/>
      <c r="BZ798" s="1"/>
      <c r="CA798" s="1"/>
      <c r="CB798" s="1"/>
      <c r="CC798" s="1"/>
      <c r="CD798" s="3"/>
      <c r="CE798" s="3"/>
      <c r="CF798" s="1"/>
      <c r="CG798" s="1"/>
      <c r="CH798" s="3"/>
      <c r="CI798" s="3"/>
    </row>
    <row r="799" spans="16:87">
      <c r="P799" s="1"/>
      <c r="Q799" s="2"/>
      <c r="R799" s="2"/>
      <c r="S799" s="2"/>
      <c r="T799" s="2"/>
      <c r="U799" s="2"/>
      <c r="V799" s="1"/>
      <c r="W799" s="1"/>
      <c r="X799" s="1"/>
      <c r="Y799" s="1"/>
      <c r="Z799" s="1"/>
      <c r="AA799" s="1"/>
      <c r="AB799" s="1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1"/>
      <c r="BY799" s="1"/>
      <c r="BZ799" s="1"/>
      <c r="CA799" s="1"/>
      <c r="CB799" s="1"/>
      <c r="CC799" s="1"/>
      <c r="CD799" s="3"/>
      <c r="CE799" s="3"/>
      <c r="CF799" s="1"/>
      <c r="CG799" s="1"/>
      <c r="CH799" s="3"/>
      <c r="CI799" s="3"/>
    </row>
    <row r="800" spans="16:87">
      <c r="P800" s="1"/>
      <c r="Q800" s="2"/>
      <c r="R800" s="2"/>
      <c r="S800" s="2"/>
      <c r="T800" s="2"/>
      <c r="U800" s="2"/>
      <c r="V800" s="1"/>
      <c r="W800" s="1"/>
      <c r="X800" s="1"/>
      <c r="Y800" s="1"/>
      <c r="Z800" s="1"/>
      <c r="AA800" s="1"/>
      <c r="AB800" s="1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1"/>
      <c r="BY800" s="1"/>
      <c r="BZ800" s="1"/>
      <c r="CA800" s="1"/>
      <c r="CB800" s="1"/>
      <c r="CC800" s="1"/>
      <c r="CD800" s="3"/>
      <c r="CE800" s="3"/>
      <c r="CF800" s="1"/>
      <c r="CG800" s="1"/>
      <c r="CH800" s="3"/>
      <c r="CI800" s="3"/>
    </row>
    <row r="801" spans="16:87">
      <c r="P801" s="1"/>
      <c r="Q801" s="2"/>
      <c r="R801" s="2"/>
      <c r="S801" s="2"/>
      <c r="T801" s="2"/>
      <c r="U801" s="2"/>
      <c r="V801" s="1"/>
      <c r="W801" s="1"/>
      <c r="X801" s="1"/>
      <c r="Y801" s="1"/>
      <c r="Z801" s="1"/>
      <c r="AA801" s="1"/>
      <c r="AB801" s="1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1"/>
      <c r="BY801" s="1"/>
      <c r="BZ801" s="1"/>
      <c r="CA801" s="1"/>
      <c r="CB801" s="1"/>
      <c r="CC801" s="1"/>
      <c r="CD801" s="3"/>
      <c r="CE801" s="3"/>
      <c r="CF801" s="1"/>
      <c r="CG801" s="1"/>
      <c r="CH801" s="3"/>
      <c r="CI801" s="3"/>
    </row>
    <row r="802" spans="16:87">
      <c r="P802" s="1"/>
      <c r="Q802" s="2"/>
      <c r="R802" s="2"/>
      <c r="S802" s="2"/>
      <c r="T802" s="2"/>
      <c r="U802" s="2"/>
      <c r="V802" s="1"/>
      <c r="W802" s="1"/>
      <c r="X802" s="1"/>
      <c r="Y802" s="1"/>
      <c r="Z802" s="1"/>
      <c r="AA802" s="1"/>
      <c r="AB802" s="1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1"/>
      <c r="BY802" s="1"/>
      <c r="BZ802" s="1"/>
      <c r="CA802" s="1"/>
      <c r="CB802" s="1"/>
      <c r="CC802" s="1"/>
      <c r="CD802" s="3"/>
      <c r="CE802" s="3"/>
      <c r="CF802" s="1"/>
      <c r="CG802" s="1"/>
      <c r="CH802" s="3"/>
      <c r="CI802" s="3"/>
    </row>
    <row r="803" spans="16:87">
      <c r="P803" s="1"/>
      <c r="Q803" s="2"/>
      <c r="R803" s="2"/>
      <c r="S803" s="2"/>
      <c r="T803" s="2"/>
      <c r="U803" s="2"/>
      <c r="V803" s="1"/>
      <c r="W803" s="1"/>
      <c r="X803" s="1"/>
      <c r="Y803" s="1"/>
      <c r="Z803" s="1"/>
      <c r="AA803" s="1"/>
      <c r="AB803" s="1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1"/>
      <c r="BY803" s="1"/>
      <c r="BZ803" s="1"/>
      <c r="CA803" s="1"/>
      <c r="CB803" s="1"/>
      <c r="CC803" s="1"/>
      <c r="CD803" s="3"/>
      <c r="CE803" s="3"/>
      <c r="CF803" s="1"/>
      <c r="CG803" s="1"/>
      <c r="CH803" s="3"/>
      <c r="CI803" s="3"/>
    </row>
    <row r="804" spans="16:87">
      <c r="P804" s="1"/>
      <c r="Q804" s="2"/>
      <c r="R804" s="2"/>
      <c r="S804" s="2"/>
      <c r="T804" s="2"/>
      <c r="U804" s="2"/>
      <c r="V804" s="1"/>
      <c r="W804" s="1"/>
      <c r="X804" s="1"/>
      <c r="Y804" s="1"/>
      <c r="Z804" s="1"/>
      <c r="AA804" s="1"/>
      <c r="AB804" s="1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1"/>
      <c r="BY804" s="1"/>
      <c r="BZ804" s="1"/>
      <c r="CA804" s="1"/>
      <c r="CB804" s="1"/>
      <c r="CC804" s="1"/>
      <c r="CD804" s="3"/>
      <c r="CE804" s="3"/>
      <c r="CF804" s="1"/>
      <c r="CG804" s="1"/>
      <c r="CH804" s="3"/>
      <c r="CI804" s="3"/>
    </row>
    <row r="805" spans="16:87">
      <c r="P805" s="1"/>
      <c r="Q805" s="2"/>
      <c r="R805" s="2"/>
      <c r="S805" s="2"/>
      <c r="T805" s="2"/>
      <c r="U805" s="2"/>
      <c r="V805" s="1"/>
      <c r="W805" s="1"/>
      <c r="X805" s="1"/>
      <c r="Y805" s="1"/>
      <c r="Z805" s="1"/>
      <c r="AA805" s="1"/>
      <c r="AB805" s="1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1"/>
      <c r="BY805" s="1"/>
      <c r="BZ805" s="1"/>
      <c r="CA805" s="1"/>
      <c r="CB805" s="1"/>
      <c r="CC805" s="1"/>
      <c r="CD805" s="3"/>
      <c r="CE805" s="3"/>
      <c r="CF805" s="1"/>
      <c r="CG805" s="1"/>
      <c r="CH805" s="3"/>
      <c r="CI805" s="3"/>
    </row>
    <row r="806" spans="16:87">
      <c r="P806" s="1"/>
      <c r="Q806" s="2"/>
      <c r="R806" s="2"/>
      <c r="S806" s="2"/>
      <c r="T806" s="2"/>
      <c r="U806" s="2"/>
      <c r="V806" s="1"/>
      <c r="W806" s="1"/>
      <c r="X806" s="1"/>
      <c r="Y806" s="1"/>
      <c r="Z806" s="1"/>
      <c r="AA806" s="1"/>
      <c r="AB806" s="1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1"/>
      <c r="BY806" s="1"/>
      <c r="BZ806" s="1"/>
      <c r="CA806" s="1"/>
      <c r="CB806" s="1"/>
      <c r="CC806" s="1"/>
      <c r="CD806" s="3"/>
      <c r="CE806" s="3"/>
      <c r="CF806" s="1"/>
      <c r="CG806" s="1"/>
      <c r="CH806" s="3"/>
      <c r="CI806" s="3"/>
    </row>
    <row r="807" spans="16:87">
      <c r="P807" s="1"/>
      <c r="Q807" s="2"/>
      <c r="R807" s="2"/>
      <c r="S807" s="2"/>
      <c r="T807" s="2"/>
      <c r="U807" s="2"/>
      <c r="V807" s="1"/>
      <c r="W807" s="1"/>
      <c r="X807" s="1"/>
      <c r="Y807" s="1"/>
      <c r="Z807" s="1"/>
      <c r="AA807" s="1"/>
      <c r="AB807" s="1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1"/>
      <c r="BY807" s="1"/>
      <c r="BZ807" s="1"/>
      <c r="CA807" s="1"/>
      <c r="CB807" s="1"/>
      <c r="CC807" s="1"/>
      <c r="CD807" s="3"/>
      <c r="CE807" s="3"/>
      <c r="CF807" s="1"/>
      <c r="CG807" s="1"/>
      <c r="CH807" s="3"/>
      <c r="CI807" s="3"/>
    </row>
    <row r="808" spans="16:87">
      <c r="P808" s="1"/>
      <c r="Q808" s="2"/>
      <c r="R808" s="2"/>
      <c r="S808" s="2"/>
      <c r="T808" s="2"/>
      <c r="U808" s="2"/>
      <c r="V808" s="1"/>
      <c r="W808" s="1"/>
      <c r="X808" s="1"/>
      <c r="Y808" s="1"/>
      <c r="Z808" s="1"/>
      <c r="AA808" s="1"/>
      <c r="AB808" s="1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1"/>
      <c r="BY808" s="1"/>
      <c r="BZ808" s="1"/>
      <c r="CA808" s="1"/>
      <c r="CB808" s="1"/>
      <c r="CC808" s="1"/>
      <c r="CD808" s="3"/>
      <c r="CE808" s="3"/>
      <c r="CF808" s="1"/>
      <c r="CG808" s="1"/>
      <c r="CH808" s="3"/>
      <c r="CI808" s="3"/>
    </row>
    <row r="809" spans="16:87">
      <c r="P809" s="1"/>
      <c r="Q809" s="2"/>
      <c r="R809" s="2"/>
      <c r="S809" s="2"/>
      <c r="T809" s="2"/>
      <c r="U809" s="2"/>
      <c r="V809" s="1"/>
      <c r="W809" s="1"/>
      <c r="X809" s="1"/>
      <c r="Y809" s="1"/>
      <c r="Z809" s="1"/>
      <c r="AA809" s="1"/>
      <c r="AB809" s="1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1"/>
      <c r="BY809" s="1"/>
      <c r="BZ809" s="1"/>
      <c r="CA809" s="1"/>
      <c r="CB809" s="1"/>
      <c r="CC809" s="1"/>
      <c r="CD809" s="3"/>
      <c r="CE809" s="3"/>
      <c r="CF809" s="1"/>
      <c r="CG809" s="1"/>
      <c r="CH809" s="3"/>
      <c r="CI809" s="3"/>
    </row>
    <row r="810" spans="16:87">
      <c r="P810" s="1"/>
      <c r="Q810" s="2"/>
      <c r="R810" s="2"/>
      <c r="S810" s="2"/>
      <c r="T810" s="2"/>
      <c r="U810" s="2"/>
      <c r="V810" s="1"/>
      <c r="W810" s="1"/>
      <c r="X810" s="1"/>
      <c r="Y810" s="1"/>
      <c r="Z810" s="1"/>
      <c r="AA810" s="1"/>
      <c r="AB810" s="1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1"/>
      <c r="BY810" s="1"/>
      <c r="BZ810" s="1"/>
      <c r="CA810" s="1"/>
      <c r="CB810" s="1"/>
      <c r="CC810" s="1"/>
      <c r="CD810" s="3"/>
      <c r="CE810" s="3"/>
      <c r="CF810" s="1"/>
      <c r="CG810" s="1"/>
      <c r="CH810" s="3"/>
      <c r="CI810" s="3"/>
    </row>
    <row r="811" spans="16:87">
      <c r="P811" s="1"/>
      <c r="Q811" s="2"/>
      <c r="R811" s="2"/>
      <c r="S811" s="2"/>
      <c r="T811" s="2"/>
      <c r="U811" s="2"/>
      <c r="V811" s="1"/>
      <c r="W811" s="1"/>
      <c r="X811" s="1"/>
      <c r="Y811" s="1"/>
      <c r="Z811" s="1"/>
      <c r="AA811" s="1"/>
      <c r="AB811" s="1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1"/>
      <c r="BY811" s="1"/>
      <c r="BZ811" s="1"/>
      <c r="CA811" s="1"/>
      <c r="CB811" s="1"/>
      <c r="CC811" s="1"/>
      <c r="CD811" s="3"/>
      <c r="CE811" s="3"/>
      <c r="CF811" s="1"/>
      <c r="CG811" s="1"/>
      <c r="CH811" s="3"/>
      <c r="CI811" s="3"/>
    </row>
    <row r="812" spans="16:87">
      <c r="P812" s="1"/>
      <c r="Q812" s="2"/>
      <c r="R812" s="2"/>
      <c r="S812" s="2"/>
      <c r="T812" s="2"/>
      <c r="U812" s="2"/>
      <c r="V812" s="1"/>
      <c r="W812" s="1"/>
      <c r="X812" s="1"/>
      <c r="Y812" s="1"/>
      <c r="Z812" s="1"/>
      <c r="AA812" s="1"/>
      <c r="AB812" s="1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1"/>
      <c r="BY812" s="1"/>
      <c r="BZ812" s="1"/>
      <c r="CA812" s="1"/>
      <c r="CB812" s="1"/>
      <c r="CC812" s="1"/>
      <c r="CD812" s="3"/>
      <c r="CE812" s="3"/>
      <c r="CF812" s="1"/>
      <c r="CG812" s="1"/>
      <c r="CH812" s="3"/>
      <c r="CI812" s="3"/>
    </row>
    <row r="813" spans="16:87">
      <c r="P813" s="1"/>
      <c r="Q813" s="2"/>
      <c r="R813" s="2"/>
      <c r="S813" s="2"/>
      <c r="T813" s="2"/>
      <c r="U813" s="2"/>
      <c r="V813" s="1"/>
      <c r="W813" s="1"/>
      <c r="X813" s="1"/>
      <c r="Y813" s="1"/>
      <c r="Z813" s="1"/>
      <c r="AA813" s="1"/>
      <c r="AB813" s="1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1"/>
      <c r="BY813" s="1"/>
      <c r="BZ813" s="1"/>
      <c r="CA813" s="1"/>
      <c r="CB813" s="1"/>
      <c r="CC813" s="1"/>
      <c r="CD813" s="3"/>
      <c r="CE813" s="3"/>
      <c r="CF813" s="1"/>
      <c r="CG813" s="1"/>
      <c r="CH813" s="3"/>
      <c r="CI813" s="3"/>
    </row>
    <row r="814" spans="16:87">
      <c r="P814" s="1"/>
      <c r="Q814" s="2"/>
      <c r="R814" s="2"/>
      <c r="S814" s="2"/>
      <c r="T814" s="2"/>
      <c r="U814" s="2"/>
      <c r="V814" s="1"/>
      <c r="W814" s="1"/>
      <c r="X814" s="1"/>
      <c r="Y814" s="1"/>
      <c r="Z814" s="1"/>
      <c r="AA814" s="1"/>
      <c r="AB814" s="1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1"/>
      <c r="BY814" s="1"/>
      <c r="BZ814" s="1"/>
      <c r="CA814" s="1"/>
      <c r="CB814" s="1"/>
      <c r="CC814" s="1"/>
      <c r="CD814" s="3"/>
      <c r="CE814" s="3"/>
      <c r="CF814" s="1"/>
      <c r="CG814" s="1"/>
      <c r="CH814" s="3"/>
      <c r="CI814" s="3"/>
    </row>
    <row r="815" spans="16:87">
      <c r="P815" s="1"/>
      <c r="Q815" s="2"/>
      <c r="R815" s="2"/>
      <c r="S815" s="2"/>
      <c r="T815" s="2"/>
      <c r="U815" s="2"/>
      <c r="V815" s="1"/>
      <c r="W815" s="1"/>
      <c r="X815" s="1"/>
      <c r="Y815" s="1"/>
      <c r="Z815" s="1"/>
      <c r="AA815" s="1"/>
      <c r="AB815" s="1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1"/>
      <c r="BY815" s="1"/>
      <c r="BZ815" s="1"/>
      <c r="CA815" s="1"/>
      <c r="CB815" s="1"/>
      <c r="CC815" s="1"/>
      <c r="CD815" s="3"/>
      <c r="CE815" s="3"/>
      <c r="CF815" s="1"/>
      <c r="CG815" s="1"/>
      <c r="CH815" s="3"/>
      <c r="CI815" s="3"/>
    </row>
    <row r="816" spans="16:87">
      <c r="P816" s="1"/>
      <c r="Q816" s="2"/>
      <c r="R816" s="2"/>
      <c r="S816" s="2"/>
      <c r="T816" s="2"/>
      <c r="U816" s="2"/>
      <c r="V816" s="1"/>
      <c r="W816" s="1"/>
      <c r="X816" s="1"/>
      <c r="Y816" s="1"/>
      <c r="Z816" s="1"/>
      <c r="AA816" s="1"/>
      <c r="AB816" s="1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1"/>
      <c r="BY816" s="1"/>
      <c r="BZ816" s="1"/>
      <c r="CA816" s="1"/>
      <c r="CB816" s="1"/>
      <c r="CC816" s="1"/>
      <c r="CD816" s="3"/>
      <c r="CE816" s="3"/>
      <c r="CF816" s="1"/>
      <c r="CG816" s="1"/>
      <c r="CH816" s="3"/>
      <c r="CI816" s="3"/>
    </row>
    <row r="817" spans="16:87">
      <c r="P817" s="1"/>
      <c r="Q817" s="2"/>
      <c r="R817" s="2"/>
      <c r="S817" s="2"/>
      <c r="T817" s="2"/>
      <c r="U817" s="2"/>
      <c r="V817" s="1"/>
      <c r="W817" s="1"/>
      <c r="X817" s="1"/>
      <c r="Y817" s="1"/>
      <c r="Z817" s="1"/>
      <c r="AA817" s="1"/>
      <c r="AB817" s="1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1"/>
      <c r="BY817" s="1"/>
      <c r="BZ817" s="1"/>
      <c r="CA817" s="1"/>
      <c r="CB817" s="1"/>
      <c r="CC817" s="1"/>
      <c r="CD817" s="3"/>
      <c r="CE817" s="3"/>
      <c r="CF817" s="1"/>
      <c r="CG817" s="1"/>
      <c r="CH817" s="3"/>
      <c r="CI817" s="3"/>
    </row>
    <row r="818" spans="16:87">
      <c r="P818" s="1"/>
      <c r="Q818" s="2"/>
      <c r="R818" s="2"/>
      <c r="S818" s="2"/>
      <c r="T818" s="2"/>
      <c r="U818" s="2"/>
      <c r="V818" s="1"/>
      <c r="W818" s="1"/>
      <c r="X818" s="1"/>
      <c r="Y818" s="1"/>
      <c r="Z818" s="1"/>
      <c r="AA818" s="1"/>
      <c r="AB818" s="1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1"/>
      <c r="BY818" s="1"/>
      <c r="BZ818" s="1"/>
      <c r="CA818" s="1"/>
      <c r="CB818" s="1"/>
      <c r="CC818" s="1"/>
      <c r="CD818" s="3"/>
      <c r="CE818" s="3"/>
      <c r="CF818" s="1"/>
      <c r="CG818" s="1"/>
      <c r="CH818" s="3"/>
      <c r="CI818" s="3"/>
    </row>
    <row r="819" spans="16:87">
      <c r="P819" s="1"/>
      <c r="Q819" s="2"/>
      <c r="R819" s="2"/>
      <c r="S819" s="2"/>
      <c r="T819" s="2"/>
      <c r="U819" s="2"/>
      <c r="V819" s="1"/>
      <c r="W819" s="1"/>
      <c r="X819" s="1"/>
      <c r="Y819" s="1"/>
      <c r="Z819" s="1"/>
      <c r="AA819" s="1"/>
      <c r="AB819" s="1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1"/>
      <c r="BY819" s="1"/>
      <c r="BZ819" s="1"/>
      <c r="CA819" s="1"/>
      <c r="CB819" s="1"/>
      <c r="CC819" s="1"/>
      <c r="CD819" s="3"/>
      <c r="CE819" s="3"/>
      <c r="CF819" s="1"/>
      <c r="CG819" s="1"/>
      <c r="CH819" s="3"/>
      <c r="CI819" s="3"/>
    </row>
    <row r="820" spans="16:87">
      <c r="P820" s="1"/>
      <c r="Q820" s="2"/>
      <c r="R820" s="2"/>
      <c r="S820" s="2"/>
      <c r="T820" s="2"/>
      <c r="U820" s="2"/>
      <c r="V820" s="1"/>
      <c r="W820" s="1"/>
      <c r="X820" s="1"/>
      <c r="Y820" s="1"/>
      <c r="Z820" s="1"/>
      <c r="AA820" s="1"/>
      <c r="AB820" s="1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1"/>
      <c r="BY820" s="1"/>
      <c r="BZ820" s="1"/>
      <c r="CA820" s="1"/>
      <c r="CB820" s="1"/>
      <c r="CC820" s="1"/>
      <c r="CD820" s="3"/>
      <c r="CE820" s="3"/>
      <c r="CF820" s="1"/>
      <c r="CG820" s="1"/>
      <c r="CH820" s="3"/>
      <c r="CI820" s="3"/>
    </row>
    <row r="821" spans="16:87">
      <c r="P821" s="1"/>
      <c r="Q821" s="2"/>
      <c r="R821" s="2"/>
      <c r="S821" s="2"/>
      <c r="T821" s="2"/>
      <c r="U821" s="2"/>
      <c r="V821" s="1"/>
      <c r="W821" s="1"/>
      <c r="X821" s="1"/>
      <c r="Y821" s="1"/>
      <c r="Z821" s="1"/>
      <c r="AA821" s="1"/>
      <c r="AB821" s="1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1"/>
      <c r="BY821" s="1"/>
      <c r="BZ821" s="1"/>
      <c r="CA821" s="1"/>
      <c r="CB821" s="1"/>
      <c r="CC821" s="1"/>
      <c r="CD821" s="3"/>
      <c r="CE821" s="3"/>
      <c r="CF821" s="1"/>
      <c r="CG821" s="1"/>
      <c r="CH821" s="3"/>
      <c r="CI821" s="3"/>
    </row>
    <row r="822" spans="16:87">
      <c r="P822" s="1"/>
      <c r="Q822" s="2"/>
      <c r="R822" s="2"/>
      <c r="S822" s="2"/>
      <c r="T822" s="2"/>
      <c r="U822" s="2"/>
      <c r="V822" s="1"/>
      <c r="W822" s="1"/>
      <c r="X822" s="1"/>
      <c r="Y822" s="1"/>
      <c r="Z822" s="1"/>
      <c r="AA822" s="1"/>
      <c r="AB822" s="1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1"/>
      <c r="BY822" s="1"/>
      <c r="BZ822" s="1"/>
      <c r="CA822" s="1"/>
      <c r="CB822" s="1"/>
      <c r="CC822" s="1"/>
      <c r="CD822" s="3"/>
      <c r="CE822" s="3"/>
      <c r="CF822" s="1"/>
      <c r="CG822" s="1"/>
      <c r="CH822" s="3"/>
      <c r="CI822" s="3"/>
    </row>
    <row r="823" spans="16:87">
      <c r="P823" s="1"/>
      <c r="Q823" s="2"/>
      <c r="R823" s="2"/>
      <c r="S823" s="2"/>
      <c r="T823" s="2"/>
      <c r="U823" s="2"/>
      <c r="V823" s="1"/>
      <c r="W823" s="1"/>
      <c r="X823" s="1"/>
      <c r="Y823" s="1"/>
      <c r="Z823" s="1"/>
      <c r="AA823" s="1"/>
      <c r="AB823" s="1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1"/>
      <c r="BY823" s="1"/>
      <c r="BZ823" s="1"/>
      <c r="CA823" s="1"/>
      <c r="CB823" s="1"/>
      <c r="CC823" s="1"/>
      <c r="CD823" s="3"/>
      <c r="CE823" s="3"/>
      <c r="CF823" s="1"/>
      <c r="CG823" s="1"/>
      <c r="CH823" s="3"/>
      <c r="CI823" s="3"/>
    </row>
    <row r="824" spans="16:87">
      <c r="P824" s="1"/>
      <c r="Q824" s="2"/>
      <c r="R824" s="2"/>
      <c r="S824" s="2"/>
      <c r="T824" s="2"/>
      <c r="U824" s="2"/>
      <c r="V824" s="1"/>
      <c r="W824" s="1"/>
      <c r="X824" s="1"/>
      <c r="Y824" s="1"/>
      <c r="Z824" s="1"/>
      <c r="AA824" s="1"/>
      <c r="AB824" s="1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1"/>
      <c r="BY824" s="1"/>
      <c r="BZ824" s="1"/>
      <c r="CA824" s="1"/>
      <c r="CB824" s="1"/>
      <c r="CC824" s="1"/>
      <c r="CD824" s="3"/>
      <c r="CE824" s="3"/>
      <c r="CF824" s="1"/>
      <c r="CG824" s="1"/>
      <c r="CH824" s="3"/>
      <c r="CI824" s="3"/>
    </row>
    <row r="825" spans="16:87">
      <c r="P825" s="1"/>
      <c r="Q825" s="2"/>
      <c r="R825" s="2"/>
      <c r="S825" s="2"/>
      <c r="T825" s="2"/>
      <c r="U825" s="2"/>
      <c r="V825" s="1"/>
      <c r="W825" s="1"/>
      <c r="X825" s="1"/>
      <c r="Y825" s="1"/>
      <c r="Z825" s="1"/>
      <c r="AA825" s="1"/>
      <c r="AB825" s="1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1"/>
      <c r="BY825" s="1"/>
      <c r="BZ825" s="1"/>
      <c r="CA825" s="1"/>
      <c r="CB825" s="1"/>
      <c r="CC825" s="1"/>
      <c r="CD825" s="3"/>
      <c r="CE825" s="3"/>
      <c r="CF825" s="1"/>
      <c r="CG825" s="1"/>
      <c r="CH825" s="3"/>
      <c r="CI825" s="3"/>
    </row>
    <row r="826" spans="16:87">
      <c r="P826" s="1"/>
      <c r="Q826" s="2"/>
      <c r="R826" s="2"/>
      <c r="S826" s="2"/>
      <c r="T826" s="2"/>
      <c r="U826" s="2"/>
      <c r="V826" s="1"/>
      <c r="W826" s="1"/>
      <c r="X826" s="1"/>
      <c r="Y826" s="1"/>
      <c r="Z826" s="1"/>
      <c r="AA826" s="1"/>
      <c r="AB826" s="1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1"/>
      <c r="BY826" s="1"/>
      <c r="BZ826" s="1"/>
      <c r="CA826" s="1"/>
      <c r="CB826" s="1"/>
      <c r="CC826" s="1"/>
      <c r="CD826" s="3"/>
      <c r="CE826" s="3"/>
      <c r="CF826" s="1"/>
      <c r="CG826" s="1"/>
      <c r="CH826" s="3"/>
      <c r="CI826" s="3"/>
    </row>
    <row r="827" spans="16:87">
      <c r="P827" s="1"/>
      <c r="Q827" s="2"/>
      <c r="R827" s="2"/>
      <c r="S827" s="2"/>
      <c r="T827" s="2"/>
      <c r="U827" s="2"/>
      <c r="V827" s="1"/>
      <c r="W827" s="1"/>
      <c r="X827" s="1"/>
      <c r="Y827" s="1"/>
      <c r="Z827" s="1"/>
      <c r="AA827" s="1"/>
      <c r="AB827" s="1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1"/>
      <c r="BY827" s="1"/>
      <c r="BZ827" s="1"/>
      <c r="CA827" s="1"/>
      <c r="CB827" s="1"/>
      <c r="CC827" s="1"/>
      <c r="CD827" s="3"/>
      <c r="CE827" s="3"/>
      <c r="CF827" s="1"/>
      <c r="CG827" s="1"/>
      <c r="CH827" s="3"/>
      <c r="CI827" s="3"/>
    </row>
    <row r="828" spans="16:87">
      <c r="P828" s="1"/>
      <c r="Q828" s="2"/>
      <c r="R828" s="2"/>
      <c r="S828" s="2"/>
      <c r="T828" s="2"/>
      <c r="U828" s="2"/>
      <c r="V828" s="1"/>
      <c r="W828" s="1"/>
      <c r="X828" s="1"/>
      <c r="Y828" s="1"/>
      <c r="Z828" s="1"/>
      <c r="AA828" s="1"/>
      <c r="AB828" s="1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1"/>
      <c r="BY828" s="1"/>
      <c r="BZ828" s="1"/>
      <c r="CA828" s="1"/>
      <c r="CB828" s="1"/>
      <c r="CC828" s="1"/>
      <c r="CD828" s="3"/>
      <c r="CE828" s="3"/>
      <c r="CF828" s="1"/>
      <c r="CG828" s="1"/>
      <c r="CH828" s="3"/>
      <c r="CI828" s="3"/>
    </row>
    <row r="829" spans="16:87">
      <c r="P829" s="1"/>
      <c r="Q829" s="2"/>
      <c r="R829" s="2"/>
      <c r="S829" s="2"/>
      <c r="T829" s="2"/>
      <c r="U829" s="2"/>
      <c r="V829" s="1"/>
      <c r="W829" s="1"/>
      <c r="X829" s="1"/>
      <c r="Y829" s="1"/>
      <c r="Z829" s="1"/>
      <c r="AA829" s="1"/>
      <c r="AB829" s="1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1"/>
      <c r="BY829" s="1"/>
      <c r="BZ829" s="1"/>
      <c r="CA829" s="1"/>
      <c r="CB829" s="1"/>
      <c r="CC829" s="1"/>
      <c r="CD829" s="3"/>
      <c r="CE829" s="3"/>
      <c r="CF829" s="1"/>
      <c r="CG829" s="1"/>
      <c r="CH829" s="3"/>
      <c r="CI829" s="3"/>
    </row>
    <row r="830" spans="16:87">
      <c r="P830" s="1"/>
      <c r="Q830" s="2"/>
      <c r="R830" s="2"/>
      <c r="S830" s="2"/>
      <c r="T830" s="2"/>
      <c r="U830" s="2"/>
      <c r="V830" s="1"/>
      <c r="W830" s="1"/>
      <c r="X830" s="1"/>
      <c r="Y830" s="1"/>
      <c r="Z830" s="1"/>
      <c r="AA830" s="1"/>
      <c r="AB830" s="1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1"/>
      <c r="BY830" s="1"/>
      <c r="BZ830" s="1"/>
      <c r="CA830" s="1"/>
      <c r="CB830" s="1"/>
      <c r="CC830" s="1"/>
      <c r="CD830" s="3"/>
      <c r="CE830" s="3"/>
      <c r="CF830" s="1"/>
      <c r="CG830" s="1"/>
      <c r="CH830" s="3"/>
      <c r="CI830" s="3"/>
    </row>
    <row r="831" spans="16:87">
      <c r="P831" s="1"/>
      <c r="Q831" s="2"/>
      <c r="R831" s="2"/>
      <c r="S831" s="2"/>
      <c r="T831" s="2"/>
      <c r="U831" s="2"/>
      <c r="V831" s="1"/>
      <c r="W831" s="1"/>
      <c r="X831" s="1"/>
      <c r="Y831" s="1"/>
      <c r="Z831" s="1"/>
      <c r="AA831" s="1"/>
      <c r="AB831" s="1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1"/>
      <c r="BY831" s="1"/>
      <c r="BZ831" s="1"/>
      <c r="CA831" s="1"/>
      <c r="CB831" s="1"/>
      <c r="CC831" s="1"/>
      <c r="CD831" s="3"/>
      <c r="CE831" s="3"/>
      <c r="CF831" s="1"/>
      <c r="CG831" s="1"/>
      <c r="CH831" s="3"/>
      <c r="CI831" s="3"/>
    </row>
    <row r="832" spans="16:87">
      <c r="P832" s="1"/>
      <c r="Q832" s="2"/>
      <c r="R832" s="2"/>
      <c r="S832" s="2"/>
      <c r="T832" s="2"/>
      <c r="U832" s="2"/>
      <c r="V832" s="1"/>
      <c r="W832" s="1"/>
      <c r="X832" s="1"/>
      <c r="Y832" s="1"/>
      <c r="Z832" s="1"/>
      <c r="AA832" s="1"/>
      <c r="AB832" s="1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1"/>
      <c r="BY832" s="1"/>
      <c r="BZ832" s="1"/>
      <c r="CA832" s="1"/>
      <c r="CB832" s="1"/>
      <c r="CC832" s="1"/>
      <c r="CD832" s="3"/>
      <c r="CE832" s="3"/>
      <c r="CF832" s="1"/>
      <c r="CG832" s="1"/>
      <c r="CH832" s="3"/>
      <c r="CI832" s="3"/>
    </row>
    <row r="833" spans="16:87">
      <c r="P833" s="1"/>
      <c r="Q833" s="2"/>
      <c r="R833" s="2"/>
      <c r="S833" s="2"/>
      <c r="T833" s="2"/>
      <c r="U833" s="2"/>
      <c r="V833" s="1"/>
      <c r="W833" s="1"/>
      <c r="X833" s="1"/>
      <c r="Y833" s="1"/>
      <c r="Z833" s="1"/>
      <c r="AA833" s="1"/>
      <c r="AB833" s="1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1"/>
      <c r="BY833" s="1"/>
      <c r="BZ833" s="1"/>
      <c r="CA833" s="1"/>
      <c r="CB833" s="1"/>
      <c r="CC833" s="1"/>
      <c r="CD833" s="3"/>
      <c r="CE833" s="3"/>
      <c r="CF833" s="1"/>
      <c r="CG833" s="1"/>
      <c r="CH833" s="3"/>
      <c r="CI833" s="3"/>
    </row>
    <row r="834" spans="16:87">
      <c r="P834" s="1"/>
      <c r="Q834" s="2"/>
      <c r="R834" s="2"/>
      <c r="S834" s="2"/>
      <c r="T834" s="2"/>
      <c r="U834" s="2"/>
      <c r="V834" s="1"/>
      <c r="W834" s="1"/>
      <c r="X834" s="1"/>
      <c r="Y834" s="1"/>
      <c r="Z834" s="1"/>
      <c r="AA834" s="1"/>
      <c r="AB834" s="1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1"/>
      <c r="BY834" s="1"/>
      <c r="BZ834" s="1"/>
      <c r="CA834" s="1"/>
      <c r="CB834" s="1"/>
      <c r="CC834" s="1"/>
      <c r="CD834" s="3"/>
      <c r="CE834" s="3"/>
      <c r="CF834" s="1"/>
      <c r="CG834" s="1"/>
      <c r="CH834" s="3"/>
      <c r="CI834" s="3"/>
    </row>
    <row r="835" spans="16:87">
      <c r="P835" s="1"/>
      <c r="Q835" s="2"/>
      <c r="R835" s="2"/>
      <c r="S835" s="2"/>
      <c r="T835" s="2"/>
      <c r="U835" s="2"/>
      <c r="V835" s="1"/>
      <c r="W835" s="1"/>
      <c r="X835" s="1"/>
      <c r="Y835" s="1"/>
      <c r="Z835" s="1"/>
      <c r="AA835" s="1"/>
      <c r="AB835" s="1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1"/>
      <c r="BY835" s="1"/>
      <c r="BZ835" s="1"/>
      <c r="CA835" s="1"/>
      <c r="CB835" s="1"/>
      <c r="CC835" s="1"/>
      <c r="CD835" s="3"/>
      <c r="CE835" s="3"/>
      <c r="CF835" s="1"/>
      <c r="CG835" s="1"/>
      <c r="CH835" s="3"/>
      <c r="CI835" s="3"/>
    </row>
    <row r="836" spans="16:87">
      <c r="P836" s="1"/>
      <c r="Q836" s="2"/>
      <c r="R836" s="2"/>
      <c r="S836" s="2"/>
      <c r="T836" s="2"/>
      <c r="U836" s="2"/>
      <c r="V836" s="1"/>
      <c r="W836" s="1"/>
      <c r="X836" s="1"/>
      <c r="Y836" s="1"/>
      <c r="Z836" s="1"/>
      <c r="AA836" s="1"/>
      <c r="AB836" s="1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1"/>
      <c r="BY836" s="1"/>
      <c r="BZ836" s="1"/>
      <c r="CA836" s="1"/>
      <c r="CB836" s="1"/>
      <c r="CC836" s="1"/>
      <c r="CD836" s="3"/>
      <c r="CE836" s="3"/>
      <c r="CF836" s="1"/>
      <c r="CG836" s="1"/>
      <c r="CH836" s="3"/>
      <c r="CI836" s="3"/>
    </row>
    <row r="837" spans="16:87">
      <c r="P837" s="1"/>
      <c r="Q837" s="2"/>
      <c r="R837" s="2"/>
      <c r="S837" s="2"/>
      <c r="T837" s="2"/>
      <c r="U837" s="2"/>
      <c r="V837" s="1"/>
      <c r="W837" s="1"/>
      <c r="X837" s="1"/>
      <c r="Y837" s="1"/>
      <c r="Z837" s="1"/>
      <c r="AA837" s="1"/>
      <c r="AB837" s="1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1"/>
      <c r="BY837" s="1"/>
      <c r="BZ837" s="1"/>
      <c r="CA837" s="1"/>
      <c r="CB837" s="1"/>
      <c r="CC837" s="1"/>
      <c r="CD837" s="3"/>
      <c r="CE837" s="3"/>
      <c r="CF837" s="1"/>
      <c r="CG837" s="1"/>
      <c r="CH837" s="3"/>
      <c r="CI837" s="3"/>
    </row>
    <row r="838" spans="16:87">
      <c r="P838" s="1"/>
      <c r="Q838" s="2"/>
      <c r="R838" s="2"/>
      <c r="S838" s="2"/>
      <c r="T838" s="2"/>
      <c r="U838" s="2"/>
      <c r="V838" s="1"/>
      <c r="W838" s="1"/>
      <c r="X838" s="1"/>
      <c r="Y838" s="1"/>
      <c r="Z838" s="1"/>
      <c r="AA838" s="1"/>
      <c r="AB838" s="1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1"/>
      <c r="BY838" s="1"/>
      <c r="BZ838" s="1"/>
      <c r="CA838" s="1"/>
      <c r="CB838" s="1"/>
      <c r="CC838" s="1"/>
      <c r="CD838" s="3"/>
      <c r="CE838" s="3"/>
      <c r="CF838" s="1"/>
      <c r="CG838" s="1"/>
      <c r="CH838" s="3"/>
      <c r="CI838" s="3"/>
    </row>
    <row r="839" spans="16:87">
      <c r="P839" s="1"/>
      <c r="Q839" s="2"/>
      <c r="R839" s="2"/>
      <c r="S839" s="2"/>
      <c r="T839" s="2"/>
      <c r="U839" s="2"/>
      <c r="V839" s="1"/>
      <c r="W839" s="1"/>
      <c r="X839" s="1"/>
      <c r="Y839" s="1"/>
      <c r="Z839" s="1"/>
      <c r="AA839" s="1"/>
      <c r="AB839" s="1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1"/>
      <c r="BY839" s="1"/>
      <c r="BZ839" s="1"/>
      <c r="CA839" s="1"/>
      <c r="CB839" s="1"/>
      <c r="CC839" s="1"/>
      <c r="CD839" s="3"/>
      <c r="CE839" s="3"/>
      <c r="CF839" s="1"/>
      <c r="CG839" s="1"/>
      <c r="CH839" s="3"/>
      <c r="CI839" s="3"/>
    </row>
    <row r="840" spans="16:87">
      <c r="P840" s="1"/>
      <c r="Q840" s="2"/>
      <c r="R840" s="2"/>
      <c r="S840" s="2"/>
      <c r="T840" s="2"/>
      <c r="U840" s="2"/>
      <c r="V840" s="1"/>
      <c r="W840" s="1"/>
      <c r="X840" s="1"/>
      <c r="Y840" s="1"/>
      <c r="Z840" s="1"/>
      <c r="AA840" s="1"/>
      <c r="AB840" s="1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1"/>
      <c r="BY840" s="1"/>
      <c r="BZ840" s="1"/>
      <c r="CA840" s="1"/>
      <c r="CB840" s="1"/>
      <c r="CC840" s="1"/>
      <c r="CD840" s="3"/>
      <c r="CE840" s="3"/>
      <c r="CF840" s="1"/>
      <c r="CG840" s="1"/>
      <c r="CH840" s="3"/>
      <c r="CI840" s="3"/>
    </row>
    <row r="841" spans="16:87">
      <c r="P841" s="1"/>
      <c r="Q841" s="2"/>
      <c r="R841" s="2"/>
      <c r="S841" s="2"/>
      <c r="T841" s="2"/>
      <c r="U841" s="2"/>
      <c r="V841" s="1"/>
      <c r="W841" s="1"/>
      <c r="X841" s="1"/>
      <c r="Y841" s="1"/>
      <c r="Z841" s="1"/>
      <c r="AA841" s="1"/>
      <c r="AB841" s="1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1"/>
      <c r="BY841" s="1"/>
      <c r="BZ841" s="1"/>
      <c r="CA841" s="1"/>
      <c r="CB841" s="1"/>
      <c r="CC841" s="1"/>
      <c r="CD841" s="3"/>
      <c r="CE841" s="3"/>
      <c r="CF841" s="1"/>
      <c r="CG841" s="1"/>
      <c r="CH841" s="3"/>
      <c r="CI841" s="3"/>
    </row>
    <row r="842" spans="16:87">
      <c r="P842" s="1"/>
      <c r="Q842" s="2"/>
      <c r="R842" s="2"/>
      <c r="S842" s="2"/>
      <c r="T842" s="2"/>
      <c r="U842" s="2"/>
      <c r="V842" s="1"/>
      <c r="W842" s="1"/>
      <c r="X842" s="1"/>
      <c r="Y842" s="1"/>
      <c r="Z842" s="1"/>
      <c r="AA842" s="1"/>
      <c r="AB842" s="1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1"/>
      <c r="BY842" s="1"/>
      <c r="BZ842" s="1"/>
      <c r="CA842" s="1"/>
      <c r="CB842" s="1"/>
      <c r="CC842" s="1"/>
      <c r="CD842" s="3"/>
      <c r="CE842" s="3"/>
      <c r="CF842" s="1"/>
      <c r="CG842" s="1"/>
      <c r="CH842" s="3"/>
      <c r="CI842" s="3"/>
    </row>
    <row r="843" spans="16:87">
      <c r="P843" s="1"/>
      <c r="Q843" s="2"/>
      <c r="R843" s="2"/>
      <c r="S843" s="2"/>
      <c r="T843" s="2"/>
      <c r="U843" s="2"/>
      <c r="V843" s="1"/>
      <c r="W843" s="1"/>
      <c r="X843" s="1"/>
      <c r="Y843" s="1"/>
      <c r="Z843" s="1"/>
      <c r="AA843" s="1"/>
      <c r="AB843" s="1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1"/>
      <c r="BY843" s="1"/>
      <c r="BZ843" s="1"/>
      <c r="CA843" s="1"/>
      <c r="CB843" s="1"/>
      <c r="CC843" s="1"/>
      <c r="CD843" s="3"/>
      <c r="CE843" s="3"/>
      <c r="CF843" s="1"/>
      <c r="CG843" s="1"/>
      <c r="CH843" s="3"/>
      <c r="CI843" s="3"/>
    </row>
    <row r="844" spans="16:87">
      <c r="P844" s="1"/>
      <c r="Q844" s="2"/>
      <c r="R844" s="2"/>
      <c r="S844" s="2"/>
      <c r="T844" s="2"/>
      <c r="U844" s="2"/>
      <c r="V844" s="1"/>
      <c r="W844" s="1"/>
      <c r="X844" s="1"/>
      <c r="Y844" s="1"/>
      <c r="Z844" s="1"/>
      <c r="AA844" s="1"/>
      <c r="AB844" s="1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1"/>
      <c r="BY844" s="1"/>
      <c r="BZ844" s="1"/>
      <c r="CA844" s="1"/>
      <c r="CB844" s="1"/>
      <c r="CC844" s="1"/>
      <c r="CD844" s="3"/>
      <c r="CE844" s="3"/>
      <c r="CF844" s="1"/>
      <c r="CG844" s="1"/>
      <c r="CH844" s="3"/>
      <c r="CI844" s="3"/>
    </row>
    <row r="845" spans="16:87">
      <c r="P845" s="1"/>
      <c r="Q845" s="2"/>
      <c r="R845" s="2"/>
      <c r="S845" s="2"/>
      <c r="T845" s="2"/>
      <c r="U845" s="2"/>
      <c r="V845" s="1"/>
      <c r="W845" s="1"/>
      <c r="X845" s="1"/>
      <c r="Y845" s="1"/>
      <c r="Z845" s="1"/>
      <c r="AA845" s="1"/>
      <c r="AB845" s="1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1"/>
      <c r="BY845" s="1"/>
      <c r="BZ845" s="1"/>
      <c r="CA845" s="1"/>
      <c r="CB845" s="1"/>
      <c r="CC845" s="1"/>
      <c r="CD845" s="3"/>
      <c r="CE845" s="3"/>
      <c r="CF845" s="1"/>
      <c r="CG845" s="1"/>
      <c r="CH845" s="3"/>
      <c r="CI845" s="3"/>
    </row>
    <row r="846" spans="16:87">
      <c r="P846" s="1"/>
      <c r="Q846" s="2"/>
      <c r="R846" s="2"/>
      <c r="S846" s="2"/>
      <c r="T846" s="2"/>
      <c r="U846" s="2"/>
      <c r="V846" s="1"/>
      <c r="W846" s="1"/>
      <c r="X846" s="1"/>
      <c r="Y846" s="1"/>
      <c r="Z846" s="1"/>
      <c r="AA846" s="1"/>
      <c r="AB846" s="1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1"/>
      <c r="BY846" s="1"/>
      <c r="BZ846" s="1"/>
      <c r="CA846" s="1"/>
      <c r="CB846" s="1"/>
      <c r="CC846" s="1"/>
      <c r="CD846" s="3"/>
      <c r="CE846" s="3"/>
      <c r="CF846" s="1"/>
      <c r="CG846" s="1"/>
      <c r="CH846" s="3"/>
      <c r="CI846" s="3"/>
    </row>
    <row r="847" spans="16:87">
      <c r="P847" s="1"/>
      <c r="Q847" s="2"/>
      <c r="R847" s="2"/>
      <c r="S847" s="2"/>
      <c r="T847" s="2"/>
      <c r="U847" s="2"/>
      <c r="V847" s="1"/>
      <c r="W847" s="1"/>
      <c r="X847" s="1"/>
      <c r="Y847" s="1"/>
      <c r="Z847" s="1"/>
      <c r="AA847" s="1"/>
      <c r="AB847" s="1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1"/>
      <c r="BY847" s="1"/>
      <c r="BZ847" s="1"/>
      <c r="CA847" s="1"/>
      <c r="CB847" s="1"/>
      <c r="CC847" s="1"/>
      <c r="CD847" s="3"/>
      <c r="CE847" s="3"/>
      <c r="CF847" s="1"/>
      <c r="CG847" s="1"/>
      <c r="CH847" s="3"/>
      <c r="CI847" s="3"/>
    </row>
    <row r="848" spans="16:87">
      <c r="P848" s="1"/>
      <c r="Q848" s="2"/>
      <c r="R848" s="2"/>
      <c r="S848" s="2"/>
      <c r="T848" s="2"/>
      <c r="U848" s="2"/>
      <c r="V848" s="1"/>
      <c r="W848" s="1"/>
      <c r="X848" s="1"/>
      <c r="Y848" s="1"/>
      <c r="Z848" s="1"/>
      <c r="AA848" s="1"/>
      <c r="AB848" s="1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1"/>
      <c r="BY848" s="1"/>
      <c r="BZ848" s="1"/>
      <c r="CA848" s="1"/>
      <c r="CB848" s="1"/>
      <c r="CC848" s="1"/>
      <c r="CD848" s="3"/>
      <c r="CE848" s="3"/>
      <c r="CF848" s="1"/>
      <c r="CG848" s="1"/>
      <c r="CH848" s="3"/>
      <c r="CI848" s="3"/>
    </row>
    <row r="849" spans="16:87">
      <c r="P849" s="1"/>
      <c r="Q849" s="2"/>
      <c r="R849" s="2"/>
      <c r="S849" s="2"/>
      <c r="T849" s="2"/>
      <c r="U849" s="2"/>
      <c r="V849" s="1"/>
      <c r="W849" s="1"/>
      <c r="X849" s="1"/>
      <c r="Y849" s="1"/>
      <c r="Z849" s="1"/>
      <c r="AA849" s="1"/>
      <c r="AB849" s="1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1"/>
      <c r="BY849" s="1"/>
      <c r="BZ849" s="1"/>
      <c r="CA849" s="1"/>
      <c r="CB849" s="1"/>
      <c r="CC849" s="1"/>
      <c r="CD849" s="3"/>
      <c r="CE849" s="3"/>
      <c r="CF849" s="1"/>
      <c r="CG849" s="1"/>
      <c r="CH849" s="3"/>
      <c r="CI849" s="3"/>
    </row>
    <row r="850" spans="16:87">
      <c r="P850" s="1"/>
      <c r="Q850" s="2"/>
      <c r="R850" s="2"/>
      <c r="S850" s="2"/>
      <c r="T850" s="2"/>
      <c r="U850" s="2"/>
      <c r="V850" s="1"/>
      <c r="W850" s="1"/>
      <c r="X850" s="1"/>
      <c r="Y850" s="1"/>
      <c r="Z850" s="1"/>
      <c r="AA850" s="1"/>
      <c r="AB850" s="1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1"/>
      <c r="BY850" s="1"/>
      <c r="BZ850" s="1"/>
      <c r="CA850" s="1"/>
      <c r="CB850" s="1"/>
      <c r="CC850" s="1"/>
      <c r="CD850" s="3"/>
      <c r="CE850" s="3"/>
      <c r="CF850" s="1"/>
      <c r="CG850" s="1"/>
      <c r="CH850" s="3"/>
      <c r="CI850" s="3"/>
    </row>
    <row r="851" spans="16:87">
      <c r="P851" s="1"/>
      <c r="Q851" s="2"/>
      <c r="R851" s="2"/>
      <c r="S851" s="2"/>
      <c r="T851" s="2"/>
      <c r="U851" s="2"/>
      <c r="V851" s="1"/>
      <c r="W851" s="1"/>
      <c r="X851" s="1"/>
      <c r="Y851" s="1"/>
      <c r="Z851" s="1"/>
      <c r="AA851" s="1"/>
      <c r="AB851" s="1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1"/>
      <c r="BY851" s="1"/>
      <c r="BZ851" s="1"/>
      <c r="CA851" s="1"/>
      <c r="CB851" s="1"/>
      <c r="CC851" s="1"/>
      <c r="CD851" s="3"/>
      <c r="CE851" s="3"/>
      <c r="CF851" s="1"/>
      <c r="CG851" s="1"/>
      <c r="CH851" s="3"/>
      <c r="CI851" s="3"/>
    </row>
    <row r="852" spans="16:87">
      <c r="P852" s="1"/>
      <c r="Q852" s="2"/>
      <c r="R852" s="2"/>
      <c r="S852" s="2"/>
      <c r="T852" s="2"/>
      <c r="U852" s="2"/>
      <c r="V852" s="1"/>
      <c r="W852" s="1"/>
      <c r="X852" s="1"/>
      <c r="Y852" s="1"/>
      <c r="Z852" s="1"/>
      <c r="AA852" s="1"/>
      <c r="AB852" s="1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1"/>
      <c r="BY852" s="1"/>
      <c r="BZ852" s="1"/>
      <c r="CA852" s="1"/>
      <c r="CB852" s="1"/>
      <c r="CC852" s="1"/>
      <c r="CD852" s="3"/>
      <c r="CE852" s="3"/>
      <c r="CF852" s="1"/>
      <c r="CG852" s="1"/>
      <c r="CH852" s="3"/>
      <c r="CI852" s="3"/>
    </row>
    <row r="853" spans="16:87">
      <c r="P853" s="1"/>
      <c r="Q853" s="2"/>
      <c r="R853" s="2"/>
      <c r="S853" s="2"/>
      <c r="T853" s="2"/>
      <c r="U853" s="2"/>
      <c r="V853" s="1"/>
      <c r="W853" s="1"/>
      <c r="X853" s="1"/>
      <c r="Y853" s="1"/>
      <c r="Z853" s="1"/>
      <c r="AA853" s="1"/>
      <c r="AB853" s="1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1"/>
      <c r="BY853" s="1"/>
      <c r="BZ853" s="1"/>
      <c r="CA853" s="1"/>
      <c r="CB853" s="1"/>
      <c r="CC853" s="1"/>
      <c r="CD853" s="3"/>
      <c r="CE853" s="3"/>
      <c r="CF853" s="1"/>
      <c r="CG853" s="1"/>
      <c r="CH853" s="3"/>
      <c r="CI853" s="3"/>
    </row>
    <row r="854" spans="16:87">
      <c r="P854" s="1"/>
      <c r="Q854" s="2"/>
      <c r="R854" s="2"/>
      <c r="S854" s="2"/>
      <c r="T854" s="2"/>
      <c r="U854" s="2"/>
      <c r="V854" s="1"/>
      <c r="W854" s="1"/>
      <c r="X854" s="1"/>
      <c r="Y854" s="1"/>
      <c r="Z854" s="1"/>
      <c r="AA854" s="1"/>
      <c r="AB854" s="1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1"/>
      <c r="BY854" s="1"/>
      <c r="BZ854" s="1"/>
      <c r="CA854" s="1"/>
      <c r="CB854" s="1"/>
      <c r="CC854" s="1"/>
      <c r="CD854" s="3"/>
      <c r="CE854" s="3"/>
      <c r="CF854" s="1"/>
      <c r="CG854" s="1"/>
      <c r="CH854" s="3"/>
      <c r="CI854" s="3"/>
    </row>
    <row r="855" spans="16:87">
      <c r="P855" s="1"/>
      <c r="Q855" s="2"/>
      <c r="R855" s="2"/>
      <c r="S855" s="2"/>
      <c r="T855" s="2"/>
      <c r="U855" s="2"/>
      <c r="V855" s="1"/>
      <c r="W855" s="1"/>
      <c r="X855" s="1"/>
      <c r="Y855" s="1"/>
      <c r="Z855" s="1"/>
      <c r="AA855" s="1"/>
      <c r="AB855" s="1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1"/>
      <c r="BY855" s="1"/>
      <c r="BZ855" s="1"/>
      <c r="CA855" s="1"/>
      <c r="CB855" s="1"/>
      <c r="CC855" s="1"/>
      <c r="CD855" s="3"/>
      <c r="CE855" s="3"/>
      <c r="CF855" s="1"/>
      <c r="CG855" s="1"/>
      <c r="CH855" s="3"/>
      <c r="CI855" s="3"/>
    </row>
    <row r="856" spans="16:87">
      <c r="P856" s="1"/>
      <c r="Q856" s="2"/>
      <c r="R856" s="2"/>
      <c r="S856" s="2"/>
      <c r="T856" s="2"/>
      <c r="U856" s="2"/>
      <c r="V856" s="1"/>
      <c r="W856" s="1"/>
      <c r="X856" s="1"/>
      <c r="Y856" s="1"/>
      <c r="Z856" s="1"/>
      <c r="AA856" s="1"/>
      <c r="AB856" s="1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1"/>
      <c r="BY856" s="1"/>
      <c r="BZ856" s="1"/>
      <c r="CA856" s="1"/>
      <c r="CB856" s="1"/>
      <c r="CC856" s="1"/>
      <c r="CD856" s="3"/>
      <c r="CE856" s="3"/>
      <c r="CF856" s="1"/>
      <c r="CG856" s="1"/>
      <c r="CH856" s="3"/>
      <c r="CI856" s="3"/>
    </row>
    <row r="857" spans="16:87">
      <c r="P857" s="1"/>
      <c r="Q857" s="2"/>
      <c r="R857" s="2"/>
      <c r="S857" s="2"/>
      <c r="T857" s="2"/>
      <c r="U857" s="2"/>
      <c r="V857" s="1"/>
      <c r="W857" s="1"/>
      <c r="X857" s="1"/>
      <c r="Y857" s="1"/>
      <c r="Z857" s="1"/>
      <c r="AA857" s="1"/>
      <c r="AB857" s="1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1"/>
      <c r="BY857" s="1"/>
      <c r="BZ857" s="1"/>
      <c r="CA857" s="1"/>
      <c r="CB857" s="1"/>
      <c r="CC857" s="1"/>
      <c r="CD857" s="3"/>
      <c r="CE857" s="3"/>
      <c r="CF857" s="1"/>
      <c r="CG857" s="1"/>
      <c r="CH857" s="3"/>
      <c r="CI857" s="3"/>
    </row>
    <row r="858" spans="16:87">
      <c r="P858" s="1"/>
      <c r="Q858" s="2"/>
      <c r="R858" s="2"/>
      <c r="S858" s="2"/>
      <c r="T858" s="2"/>
      <c r="U858" s="2"/>
      <c r="V858" s="1"/>
      <c r="W858" s="1"/>
      <c r="X858" s="1"/>
      <c r="Y858" s="1"/>
      <c r="Z858" s="1"/>
      <c r="AA858" s="1"/>
      <c r="AB858" s="1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1"/>
      <c r="BY858" s="1"/>
      <c r="BZ858" s="1"/>
      <c r="CA858" s="1"/>
      <c r="CB858" s="1"/>
      <c r="CC858" s="1"/>
      <c r="CD858" s="3"/>
      <c r="CE858" s="3"/>
      <c r="CF858" s="1"/>
      <c r="CG858" s="1"/>
      <c r="CH858" s="3"/>
      <c r="CI858" s="3"/>
    </row>
    <row r="859" spans="16:87">
      <c r="P859" s="1"/>
      <c r="Q859" s="2"/>
      <c r="R859" s="2"/>
      <c r="S859" s="2"/>
      <c r="T859" s="2"/>
      <c r="U859" s="2"/>
      <c r="V859" s="1"/>
      <c r="W859" s="1"/>
      <c r="X859" s="1"/>
      <c r="Y859" s="1"/>
      <c r="Z859" s="1"/>
      <c r="AA859" s="1"/>
      <c r="AB859" s="1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1"/>
      <c r="BY859" s="1"/>
      <c r="BZ859" s="1"/>
      <c r="CA859" s="1"/>
      <c r="CB859" s="1"/>
      <c r="CC859" s="1"/>
      <c r="CD859" s="3"/>
      <c r="CE859" s="3"/>
      <c r="CF859" s="1"/>
      <c r="CG859" s="1"/>
      <c r="CH859" s="3"/>
      <c r="CI859" s="3"/>
    </row>
    <row r="860" spans="16:87">
      <c r="P860" s="1"/>
      <c r="Q860" s="2"/>
      <c r="R860" s="2"/>
      <c r="S860" s="2"/>
      <c r="T860" s="2"/>
      <c r="U860" s="2"/>
      <c r="V860" s="1"/>
      <c r="W860" s="1"/>
      <c r="X860" s="1"/>
      <c r="Y860" s="1"/>
      <c r="Z860" s="1"/>
      <c r="AA860" s="1"/>
      <c r="AB860" s="1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1"/>
      <c r="BY860" s="1"/>
      <c r="BZ860" s="1"/>
      <c r="CA860" s="1"/>
      <c r="CB860" s="1"/>
      <c r="CC860" s="1"/>
      <c r="CD860" s="3"/>
      <c r="CE860" s="3"/>
      <c r="CF860" s="1"/>
      <c r="CG860" s="1"/>
      <c r="CH860" s="3"/>
      <c r="CI860" s="3"/>
    </row>
    <row r="861" spans="16:87">
      <c r="P861" s="1"/>
      <c r="Q861" s="2"/>
      <c r="R861" s="2"/>
      <c r="S861" s="2"/>
      <c r="T861" s="2"/>
      <c r="U861" s="2"/>
      <c r="V861" s="1"/>
      <c r="W861" s="1"/>
      <c r="X861" s="1"/>
      <c r="Y861" s="1"/>
      <c r="Z861" s="1"/>
      <c r="AA861" s="1"/>
      <c r="AB861" s="1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1"/>
      <c r="BY861" s="1"/>
      <c r="BZ861" s="1"/>
      <c r="CA861" s="1"/>
      <c r="CB861" s="1"/>
      <c r="CC861" s="1"/>
      <c r="CD861" s="3"/>
      <c r="CE861" s="3"/>
      <c r="CF861" s="1"/>
      <c r="CG861" s="1"/>
      <c r="CH861" s="3"/>
      <c r="CI861" s="3"/>
    </row>
    <row r="862" spans="16:87">
      <c r="P862" s="1"/>
      <c r="Q862" s="2"/>
      <c r="R862" s="2"/>
      <c r="S862" s="2"/>
      <c r="T862" s="2"/>
      <c r="U862" s="2"/>
      <c r="V862" s="1"/>
      <c r="W862" s="1"/>
      <c r="X862" s="1"/>
      <c r="Y862" s="1"/>
      <c r="Z862" s="1"/>
      <c r="AA862" s="1"/>
      <c r="AB862" s="1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1"/>
      <c r="BY862" s="1"/>
      <c r="BZ862" s="1"/>
      <c r="CA862" s="1"/>
      <c r="CB862" s="1"/>
      <c r="CC862" s="1"/>
      <c r="CD862" s="3"/>
      <c r="CE862" s="3"/>
      <c r="CF862" s="1"/>
      <c r="CG862" s="1"/>
      <c r="CH862" s="3"/>
      <c r="CI862" s="3"/>
    </row>
    <row r="863" spans="16:87">
      <c r="P863" s="1"/>
      <c r="Q863" s="2"/>
      <c r="R863" s="2"/>
      <c r="S863" s="2"/>
      <c r="T863" s="2"/>
      <c r="U863" s="2"/>
      <c r="V863" s="1"/>
      <c r="W863" s="1"/>
      <c r="X863" s="1"/>
      <c r="Y863" s="1"/>
      <c r="Z863" s="1"/>
      <c r="AA863" s="1"/>
      <c r="AB863" s="1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1"/>
      <c r="BY863" s="1"/>
      <c r="BZ863" s="1"/>
      <c r="CA863" s="1"/>
      <c r="CB863" s="1"/>
      <c r="CC863" s="1"/>
      <c r="CD863" s="3"/>
      <c r="CE863" s="3"/>
      <c r="CF863" s="1"/>
      <c r="CG863" s="1"/>
      <c r="CH863" s="3"/>
      <c r="CI863" s="3"/>
    </row>
    <row r="864" spans="16:87">
      <c r="P864" s="1"/>
      <c r="Q864" s="2"/>
      <c r="R864" s="2"/>
      <c r="S864" s="2"/>
      <c r="T864" s="2"/>
      <c r="U864" s="2"/>
      <c r="V864" s="1"/>
      <c r="W864" s="1"/>
      <c r="X864" s="1"/>
      <c r="Y864" s="1"/>
      <c r="Z864" s="1"/>
      <c r="AA864" s="1"/>
      <c r="AB864" s="1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1"/>
      <c r="BY864" s="1"/>
      <c r="BZ864" s="1"/>
      <c r="CA864" s="1"/>
      <c r="CB864" s="1"/>
      <c r="CC864" s="1"/>
      <c r="CD864" s="3"/>
      <c r="CE864" s="3"/>
      <c r="CF864" s="1"/>
      <c r="CG864" s="1"/>
      <c r="CH864" s="3"/>
      <c r="CI864" s="3"/>
    </row>
    <row r="865" spans="16:87">
      <c r="P865" s="1"/>
      <c r="Q865" s="2"/>
      <c r="R865" s="2"/>
      <c r="S865" s="2"/>
      <c r="T865" s="2"/>
      <c r="U865" s="2"/>
      <c r="V865" s="1"/>
      <c r="W865" s="1"/>
      <c r="X865" s="1"/>
      <c r="Y865" s="1"/>
      <c r="Z865" s="1"/>
      <c r="AA865" s="1"/>
      <c r="AB865" s="1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1"/>
      <c r="BY865" s="1"/>
      <c r="BZ865" s="1"/>
      <c r="CA865" s="1"/>
      <c r="CB865" s="1"/>
      <c r="CC865" s="1"/>
      <c r="CD865" s="3"/>
      <c r="CE865" s="3"/>
      <c r="CF865" s="1"/>
      <c r="CG865" s="1"/>
      <c r="CH865" s="3"/>
      <c r="CI865" s="3"/>
    </row>
    <row r="866" spans="16:87">
      <c r="P866" s="1"/>
      <c r="Q866" s="2"/>
      <c r="R866" s="2"/>
      <c r="S866" s="2"/>
      <c r="T866" s="2"/>
      <c r="U866" s="2"/>
      <c r="V866" s="1"/>
      <c r="W866" s="1"/>
      <c r="X866" s="1"/>
      <c r="Y866" s="1"/>
      <c r="Z866" s="1"/>
      <c r="AA866" s="1"/>
      <c r="AB866" s="1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1"/>
      <c r="BY866" s="1"/>
      <c r="BZ866" s="1"/>
      <c r="CA866" s="1"/>
      <c r="CB866" s="1"/>
      <c r="CC866" s="1"/>
      <c r="CD866" s="3"/>
      <c r="CE866" s="3"/>
      <c r="CF866" s="1"/>
      <c r="CG866" s="1"/>
      <c r="CH866" s="3"/>
      <c r="CI866" s="3"/>
    </row>
    <row r="867" spans="16:87">
      <c r="P867" s="1"/>
      <c r="Q867" s="2"/>
      <c r="R867" s="2"/>
      <c r="S867" s="2"/>
      <c r="T867" s="2"/>
      <c r="U867" s="2"/>
      <c r="V867" s="1"/>
      <c r="W867" s="1"/>
      <c r="X867" s="1"/>
      <c r="Y867" s="1"/>
      <c r="Z867" s="1"/>
      <c r="AA867" s="1"/>
      <c r="AB867" s="1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1"/>
      <c r="BY867" s="1"/>
      <c r="BZ867" s="1"/>
      <c r="CA867" s="1"/>
      <c r="CB867" s="1"/>
      <c r="CC867" s="1"/>
      <c r="CD867" s="3"/>
      <c r="CE867" s="3"/>
      <c r="CF867" s="1"/>
      <c r="CG867" s="1"/>
      <c r="CH867" s="3"/>
      <c r="CI867" s="3"/>
    </row>
    <row r="868" spans="16:87">
      <c r="P868" s="1"/>
      <c r="Q868" s="2"/>
      <c r="R868" s="2"/>
      <c r="S868" s="2"/>
      <c r="T868" s="2"/>
      <c r="U868" s="2"/>
      <c r="V868" s="1"/>
      <c r="W868" s="1"/>
      <c r="X868" s="1"/>
      <c r="Y868" s="1"/>
      <c r="Z868" s="1"/>
      <c r="AA868" s="1"/>
      <c r="AB868" s="1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1"/>
      <c r="BY868" s="1"/>
      <c r="BZ868" s="1"/>
      <c r="CA868" s="1"/>
      <c r="CB868" s="1"/>
      <c r="CC868" s="1"/>
      <c r="CD868" s="3"/>
      <c r="CE868" s="3"/>
      <c r="CF868" s="1"/>
      <c r="CG868" s="1"/>
      <c r="CH868" s="3"/>
      <c r="CI868" s="3"/>
    </row>
    <row r="869" spans="16:87">
      <c r="P869" s="1"/>
      <c r="Q869" s="2"/>
      <c r="R869" s="2"/>
      <c r="S869" s="2"/>
      <c r="T869" s="2"/>
      <c r="U869" s="2"/>
      <c r="V869" s="1"/>
      <c r="W869" s="1"/>
      <c r="X869" s="1"/>
      <c r="Y869" s="1"/>
      <c r="Z869" s="1"/>
      <c r="AA869" s="1"/>
      <c r="AB869" s="1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1"/>
      <c r="BY869" s="1"/>
      <c r="BZ869" s="1"/>
      <c r="CA869" s="1"/>
      <c r="CB869" s="1"/>
      <c r="CC869" s="1"/>
      <c r="CD869" s="3"/>
      <c r="CE869" s="3"/>
      <c r="CF869" s="1"/>
      <c r="CG869" s="1"/>
      <c r="CH869" s="3"/>
      <c r="CI869" s="3"/>
    </row>
    <row r="870" spans="16:87">
      <c r="P870" s="1"/>
      <c r="Q870" s="2"/>
      <c r="R870" s="2"/>
      <c r="S870" s="2"/>
      <c r="T870" s="2"/>
      <c r="U870" s="2"/>
      <c r="V870" s="1"/>
      <c r="W870" s="1"/>
      <c r="X870" s="1"/>
      <c r="Y870" s="1"/>
      <c r="Z870" s="1"/>
      <c r="AA870" s="1"/>
      <c r="AB870" s="1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1"/>
      <c r="BY870" s="1"/>
      <c r="BZ870" s="1"/>
      <c r="CA870" s="1"/>
      <c r="CB870" s="1"/>
      <c r="CC870" s="1"/>
      <c r="CD870" s="3"/>
      <c r="CE870" s="3"/>
      <c r="CF870" s="1"/>
      <c r="CG870" s="1"/>
      <c r="CH870" s="3"/>
      <c r="CI870" s="3"/>
    </row>
    <row r="871" spans="16:87">
      <c r="P871" s="1"/>
      <c r="Q871" s="2"/>
      <c r="R871" s="2"/>
      <c r="S871" s="2"/>
      <c r="T871" s="2"/>
      <c r="U871" s="2"/>
      <c r="V871" s="1"/>
      <c r="W871" s="1"/>
      <c r="X871" s="1"/>
      <c r="Y871" s="1"/>
      <c r="Z871" s="1"/>
      <c r="AA871" s="1"/>
      <c r="AB871" s="1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1"/>
      <c r="BY871" s="1"/>
      <c r="BZ871" s="1"/>
      <c r="CA871" s="1"/>
      <c r="CB871" s="1"/>
      <c r="CC871" s="1"/>
      <c r="CD871" s="3"/>
      <c r="CE871" s="3"/>
      <c r="CF871" s="1"/>
      <c r="CG871" s="1"/>
      <c r="CH871" s="3"/>
      <c r="CI871" s="3"/>
    </row>
    <row r="872" spans="16:87">
      <c r="P872" s="1"/>
      <c r="Q872" s="2"/>
      <c r="R872" s="2"/>
      <c r="S872" s="2"/>
      <c r="T872" s="2"/>
      <c r="U872" s="2"/>
      <c r="V872" s="1"/>
      <c r="W872" s="1"/>
      <c r="X872" s="1"/>
      <c r="Y872" s="1"/>
      <c r="Z872" s="1"/>
      <c r="AA872" s="1"/>
      <c r="AB872" s="1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1"/>
      <c r="BY872" s="1"/>
      <c r="BZ872" s="1"/>
      <c r="CA872" s="1"/>
      <c r="CB872" s="1"/>
      <c r="CC872" s="1"/>
      <c r="CD872" s="3"/>
      <c r="CE872" s="3"/>
      <c r="CF872" s="1"/>
      <c r="CG872" s="1"/>
      <c r="CH872" s="3"/>
      <c r="CI872" s="3"/>
    </row>
    <row r="873" spans="16:87">
      <c r="P873" s="1"/>
      <c r="Q873" s="2"/>
      <c r="R873" s="2"/>
      <c r="S873" s="2"/>
      <c r="T873" s="2"/>
      <c r="U873" s="2"/>
      <c r="V873" s="1"/>
      <c r="W873" s="1"/>
      <c r="X873" s="1"/>
      <c r="Y873" s="1"/>
      <c r="Z873" s="1"/>
      <c r="AA873" s="1"/>
      <c r="AB873" s="1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1"/>
      <c r="BY873" s="1"/>
      <c r="BZ873" s="1"/>
      <c r="CA873" s="1"/>
      <c r="CB873" s="1"/>
      <c r="CC873" s="1"/>
      <c r="CD873" s="3"/>
      <c r="CE873" s="3"/>
      <c r="CF873" s="1"/>
      <c r="CG873" s="1"/>
      <c r="CH873" s="3"/>
      <c r="CI873" s="3"/>
    </row>
    <row r="874" spans="16:87">
      <c r="P874" s="1"/>
      <c r="Q874" s="2"/>
      <c r="R874" s="2"/>
      <c r="S874" s="2"/>
      <c r="T874" s="2"/>
      <c r="U874" s="2"/>
      <c r="V874" s="1"/>
      <c r="W874" s="1"/>
      <c r="X874" s="1"/>
      <c r="Y874" s="1"/>
      <c r="Z874" s="1"/>
      <c r="AA874" s="1"/>
      <c r="AB874" s="1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1"/>
      <c r="BY874" s="1"/>
      <c r="BZ874" s="1"/>
      <c r="CA874" s="1"/>
      <c r="CB874" s="1"/>
      <c r="CC874" s="1"/>
      <c r="CD874" s="3"/>
      <c r="CE874" s="3"/>
      <c r="CF874" s="1"/>
      <c r="CG874" s="1"/>
      <c r="CH874" s="3"/>
      <c r="CI874" s="3"/>
    </row>
    <row r="875" spans="16:87">
      <c r="P875" s="1"/>
      <c r="Q875" s="2"/>
      <c r="R875" s="2"/>
      <c r="S875" s="2"/>
      <c r="T875" s="2"/>
      <c r="U875" s="2"/>
      <c r="V875" s="1"/>
      <c r="W875" s="1"/>
      <c r="X875" s="1"/>
      <c r="Y875" s="1"/>
      <c r="Z875" s="1"/>
      <c r="AA875" s="1"/>
      <c r="AB875" s="1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1"/>
      <c r="BY875" s="1"/>
      <c r="BZ875" s="1"/>
      <c r="CA875" s="1"/>
      <c r="CB875" s="1"/>
      <c r="CC875" s="1"/>
      <c r="CD875" s="3"/>
      <c r="CE875" s="3"/>
      <c r="CF875" s="1"/>
      <c r="CG875" s="1"/>
      <c r="CH875" s="3"/>
      <c r="CI875" s="3"/>
    </row>
    <row r="876" spans="16:87">
      <c r="P876" s="1"/>
      <c r="Q876" s="2"/>
      <c r="R876" s="2"/>
      <c r="S876" s="2"/>
      <c r="T876" s="2"/>
      <c r="U876" s="2"/>
      <c r="V876" s="1"/>
      <c r="W876" s="1"/>
      <c r="X876" s="1"/>
      <c r="Y876" s="1"/>
      <c r="Z876" s="1"/>
      <c r="AA876" s="1"/>
      <c r="AB876" s="1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1"/>
      <c r="BY876" s="1"/>
      <c r="BZ876" s="1"/>
      <c r="CA876" s="1"/>
      <c r="CB876" s="1"/>
      <c r="CC876" s="1"/>
      <c r="CD876" s="3"/>
      <c r="CE876" s="3"/>
      <c r="CF876" s="1"/>
      <c r="CG876" s="1"/>
      <c r="CH876" s="3"/>
      <c r="CI876" s="3"/>
    </row>
    <row r="877" spans="16:87">
      <c r="P877" s="1"/>
      <c r="Q877" s="2"/>
      <c r="R877" s="2"/>
      <c r="S877" s="2"/>
      <c r="T877" s="2"/>
      <c r="U877" s="2"/>
      <c r="V877" s="1"/>
      <c r="W877" s="1"/>
      <c r="X877" s="1"/>
      <c r="Y877" s="1"/>
      <c r="Z877" s="1"/>
      <c r="AA877" s="1"/>
      <c r="AB877" s="1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1"/>
      <c r="BY877" s="1"/>
      <c r="BZ877" s="1"/>
      <c r="CA877" s="1"/>
      <c r="CB877" s="1"/>
      <c r="CC877" s="1"/>
      <c r="CD877" s="3"/>
      <c r="CE877" s="3"/>
      <c r="CF877" s="1"/>
      <c r="CG877" s="1"/>
      <c r="CH877" s="3"/>
      <c r="CI877" s="3"/>
    </row>
    <row r="878" spans="16:87">
      <c r="P878" s="1"/>
      <c r="Q878" s="2"/>
      <c r="R878" s="2"/>
      <c r="S878" s="2"/>
      <c r="T878" s="2"/>
      <c r="U878" s="2"/>
      <c r="V878" s="1"/>
      <c r="W878" s="1"/>
      <c r="X878" s="1"/>
      <c r="Y878" s="1"/>
      <c r="Z878" s="1"/>
      <c r="AA878" s="1"/>
      <c r="AB878" s="1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1"/>
      <c r="BY878" s="1"/>
      <c r="BZ878" s="1"/>
      <c r="CA878" s="1"/>
      <c r="CB878" s="1"/>
      <c r="CC878" s="1"/>
      <c r="CD878" s="3"/>
      <c r="CE878" s="3"/>
      <c r="CF878" s="1"/>
      <c r="CG878" s="1"/>
      <c r="CH878" s="3"/>
      <c r="CI878" s="3"/>
    </row>
    <row r="879" spans="16:87">
      <c r="P879" s="1"/>
      <c r="Q879" s="2"/>
      <c r="R879" s="2"/>
      <c r="S879" s="2"/>
      <c r="T879" s="2"/>
      <c r="U879" s="2"/>
      <c r="V879" s="1"/>
      <c r="W879" s="1"/>
      <c r="X879" s="1"/>
      <c r="Y879" s="1"/>
      <c r="Z879" s="1"/>
      <c r="AA879" s="1"/>
      <c r="AB879" s="1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1"/>
      <c r="BY879" s="1"/>
      <c r="BZ879" s="1"/>
      <c r="CA879" s="1"/>
      <c r="CB879" s="1"/>
      <c r="CC879" s="1"/>
      <c r="CD879" s="3"/>
      <c r="CE879" s="3"/>
      <c r="CF879" s="1"/>
      <c r="CG879" s="1"/>
      <c r="CH879" s="3"/>
      <c r="CI879" s="3"/>
    </row>
    <row r="880" spans="16:87">
      <c r="P880" s="1"/>
      <c r="Q880" s="2"/>
      <c r="R880" s="2"/>
      <c r="S880" s="2"/>
      <c r="T880" s="2"/>
      <c r="U880" s="2"/>
      <c r="V880" s="1"/>
      <c r="W880" s="1"/>
      <c r="X880" s="1"/>
      <c r="Y880" s="1"/>
      <c r="Z880" s="1"/>
      <c r="AA880" s="1"/>
      <c r="AB880" s="1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1"/>
      <c r="BY880" s="1"/>
      <c r="BZ880" s="1"/>
      <c r="CA880" s="1"/>
      <c r="CB880" s="1"/>
      <c r="CC880" s="1"/>
      <c r="CD880" s="3"/>
      <c r="CE880" s="3"/>
      <c r="CF880" s="1"/>
      <c r="CG880" s="1"/>
      <c r="CH880" s="3"/>
      <c r="CI880" s="3"/>
    </row>
    <row r="881" spans="16:87">
      <c r="P881" s="1"/>
      <c r="Q881" s="2"/>
      <c r="R881" s="2"/>
      <c r="S881" s="2"/>
      <c r="T881" s="2"/>
      <c r="U881" s="2"/>
      <c r="V881" s="1"/>
      <c r="W881" s="1"/>
      <c r="X881" s="1"/>
      <c r="Y881" s="1"/>
      <c r="Z881" s="1"/>
      <c r="AA881" s="1"/>
      <c r="AB881" s="1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1"/>
      <c r="BY881" s="1"/>
      <c r="BZ881" s="1"/>
      <c r="CA881" s="1"/>
      <c r="CB881" s="1"/>
      <c r="CC881" s="1"/>
      <c r="CD881" s="3"/>
      <c r="CE881" s="3"/>
      <c r="CF881" s="1"/>
      <c r="CG881" s="1"/>
      <c r="CH881" s="3"/>
      <c r="CI881" s="3"/>
    </row>
    <row r="882" spans="16:87">
      <c r="P882" s="1"/>
      <c r="Q882" s="2"/>
      <c r="R882" s="2"/>
      <c r="S882" s="2"/>
      <c r="T882" s="2"/>
      <c r="U882" s="2"/>
      <c r="V882" s="1"/>
      <c r="W882" s="1"/>
      <c r="X882" s="1"/>
      <c r="Y882" s="1"/>
      <c r="Z882" s="1"/>
      <c r="AA882" s="1"/>
      <c r="AB882" s="1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1"/>
      <c r="BY882" s="1"/>
      <c r="BZ882" s="1"/>
      <c r="CA882" s="1"/>
      <c r="CB882" s="1"/>
      <c r="CC882" s="1"/>
      <c r="CD882" s="3"/>
      <c r="CE882" s="3"/>
      <c r="CF882" s="1"/>
      <c r="CG882" s="1"/>
      <c r="CH882" s="3"/>
      <c r="CI882" s="3"/>
    </row>
    <row r="883" spans="16:87">
      <c r="P883" s="1"/>
      <c r="Q883" s="2"/>
      <c r="R883" s="2"/>
      <c r="S883" s="2"/>
      <c r="T883" s="2"/>
      <c r="U883" s="2"/>
      <c r="V883" s="1"/>
      <c r="W883" s="1"/>
      <c r="X883" s="1"/>
      <c r="Y883" s="1"/>
      <c r="Z883" s="1"/>
      <c r="AA883" s="1"/>
      <c r="AB883" s="1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1"/>
      <c r="BY883" s="1"/>
      <c r="BZ883" s="1"/>
      <c r="CA883" s="1"/>
      <c r="CB883" s="1"/>
      <c r="CC883" s="1"/>
      <c r="CD883" s="3"/>
      <c r="CE883" s="3"/>
      <c r="CF883" s="1"/>
      <c r="CG883" s="1"/>
      <c r="CH883" s="3"/>
      <c r="CI883" s="3"/>
    </row>
    <row r="884" spans="16:87">
      <c r="P884" s="1"/>
      <c r="Q884" s="2"/>
      <c r="R884" s="2"/>
      <c r="S884" s="2"/>
      <c r="T884" s="2"/>
      <c r="U884" s="2"/>
      <c r="V884" s="1"/>
      <c r="W884" s="1"/>
      <c r="X884" s="1"/>
      <c r="Y884" s="1"/>
      <c r="Z884" s="1"/>
      <c r="AA884" s="1"/>
      <c r="AB884" s="1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1"/>
      <c r="BY884" s="1"/>
      <c r="BZ884" s="1"/>
      <c r="CA884" s="1"/>
      <c r="CB884" s="1"/>
      <c r="CC884" s="1"/>
      <c r="CD884" s="3"/>
      <c r="CE884" s="3"/>
      <c r="CF884" s="1"/>
      <c r="CG884" s="1"/>
      <c r="CH884" s="3"/>
      <c r="CI884" s="3"/>
    </row>
    <row r="885" spans="16:87">
      <c r="P885" s="1"/>
      <c r="Q885" s="2"/>
      <c r="R885" s="2"/>
      <c r="S885" s="2"/>
      <c r="T885" s="2"/>
      <c r="U885" s="2"/>
      <c r="V885" s="1"/>
      <c r="W885" s="1"/>
      <c r="X885" s="1"/>
      <c r="Y885" s="1"/>
      <c r="Z885" s="1"/>
      <c r="AA885" s="1"/>
      <c r="AB885" s="1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1"/>
      <c r="BY885" s="1"/>
      <c r="BZ885" s="1"/>
      <c r="CA885" s="1"/>
      <c r="CB885" s="1"/>
      <c r="CC885" s="1"/>
      <c r="CD885" s="3"/>
      <c r="CE885" s="3"/>
      <c r="CF885" s="1"/>
      <c r="CG885" s="1"/>
      <c r="CH885" s="3"/>
      <c r="CI885" s="3"/>
    </row>
    <row r="886" spans="16:87">
      <c r="P886" s="1"/>
      <c r="Q886" s="2"/>
      <c r="R886" s="2"/>
      <c r="S886" s="2"/>
      <c r="T886" s="2"/>
      <c r="U886" s="2"/>
      <c r="V886" s="1"/>
      <c r="W886" s="1"/>
      <c r="X886" s="1"/>
      <c r="Y886" s="1"/>
      <c r="Z886" s="1"/>
      <c r="AA886" s="1"/>
      <c r="AB886" s="1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1"/>
      <c r="BY886" s="1"/>
      <c r="BZ886" s="1"/>
      <c r="CA886" s="1"/>
      <c r="CB886" s="1"/>
      <c r="CC886" s="1"/>
      <c r="CD886" s="3"/>
      <c r="CE886" s="3"/>
      <c r="CF886" s="1"/>
      <c r="CG886" s="1"/>
      <c r="CH886" s="3"/>
      <c r="CI886" s="3"/>
    </row>
    <row r="887" spans="16:87">
      <c r="P887" s="1"/>
      <c r="Q887" s="2"/>
      <c r="R887" s="2"/>
      <c r="S887" s="2"/>
      <c r="T887" s="2"/>
      <c r="U887" s="2"/>
      <c r="V887" s="1"/>
      <c r="W887" s="1"/>
      <c r="X887" s="1"/>
      <c r="Y887" s="1"/>
      <c r="Z887" s="1"/>
      <c r="AA887" s="1"/>
      <c r="AB887" s="1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1"/>
      <c r="BY887" s="1"/>
      <c r="BZ887" s="1"/>
      <c r="CA887" s="1"/>
      <c r="CB887" s="1"/>
      <c r="CC887" s="1"/>
      <c r="CD887" s="3"/>
      <c r="CE887" s="3"/>
      <c r="CF887" s="1"/>
      <c r="CG887" s="1"/>
      <c r="CH887" s="3"/>
      <c r="CI887" s="3"/>
    </row>
    <row r="888" spans="16:87">
      <c r="P888" s="1"/>
      <c r="Q888" s="2"/>
      <c r="R888" s="2"/>
      <c r="S888" s="2"/>
      <c r="T888" s="2"/>
      <c r="U888" s="2"/>
      <c r="V888" s="1"/>
      <c r="W888" s="1"/>
      <c r="X888" s="1"/>
      <c r="Y888" s="1"/>
      <c r="Z888" s="1"/>
      <c r="AA888" s="1"/>
      <c r="AB888" s="1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1"/>
      <c r="BY888" s="1"/>
      <c r="BZ888" s="1"/>
      <c r="CA888" s="1"/>
      <c r="CB888" s="1"/>
      <c r="CC888" s="1"/>
      <c r="CD888" s="3"/>
      <c r="CE888" s="3"/>
      <c r="CF888" s="1"/>
      <c r="CG888" s="1"/>
      <c r="CH888" s="3"/>
      <c r="CI888" s="3"/>
    </row>
    <row r="889" spans="16:87">
      <c r="P889" s="1"/>
      <c r="Q889" s="2"/>
      <c r="R889" s="2"/>
      <c r="S889" s="2"/>
      <c r="T889" s="2"/>
      <c r="U889" s="2"/>
      <c r="V889" s="1"/>
      <c r="W889" s="1"/>
      <c r="X889" s="1"/>
      <c r="Y889" s="1"/>
      <c r="Z889" s="1"/>
      <c r="AA889" s="1"/>
      <c r="AB889" s="1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1"/>
      <c r="BY889" s="1"/>
      <c r="BZ889" s="1"/>
      <c r="CA889" s="1"/>
      <c r="CB889" s="1"/>
      <c r="CC889" s="1"/>
      <c r="CD889" s="3"/>
      <c r="CE889" s="3"/>
      <c r="CF889" s="1"/>
      <c r="CG889" s="1"/>
      <c r="CH889" s="3"/>
      <c r="CI889" s="3"/>
    </row>
    <row r="890" spans="16:87">
      <c r="P890" s="1"/>
      <c r="Q890" s="2"/>
      <c r="R890" s="2"/>
      <c r="S890" s="2"/>
      <c r="T890" s="2"/>
      <c r="U890" s="2"/>
      <c r="V890" s="1"/>
      <c r="W890" s="1"/>
      <c r="X890" s="1"/>
      <c r="Y890" s="1"/>
      <c r="Z890" s="1"/>
      <c r="AA890" s="1"/>
      <c r="AB890" s="1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1"/>
      <c r="BY890" s="1"/>
      <c r="BZ890" s="1"/>
      <c r="CA890" s="1"/>
      <c r="CB890" s="1"/>
      <c r="CC890" s="1"/>
      <c r="CD890" s="3"/>
      <c r="CE890" s="3"/>
      <c r="CF890" s="1"/>
      <c r="CG890" s="1"/>
      <c r="CH890" s="3"/>
      <c r="CI890" s="3"/>
    </row>
    <row r="891" spans="16:87">
      <c r="P891" s="1"/>
      <c r="Q891" s="2"/>
      <c r="R891" s="2"/>
      <c r="S891" s="2"/>
      <c r="T891" s="2"/>
      <c r="U891" s="2"/>
      <c r="V891" s="1"/>
      <c r="W891" s="1"/>
      <c r="X891" s="1"/>
      <c r="Y891" s="1"/>
      <c r="Z891" s="1"/>
      <c r="AA891" s="1"/>
      <c r="AB891" s="1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1"/>
      <c r="BY891" s="1"/>
      <c r="BZ891" s="1"/>
      <c r="CA891" s="1"/>
      <c r="CB891" s="1"/>
      <c r="CC891" s="1"/>
      <c r="CD891" s="3"/>
      <c r="CE891" s="3"/>
      <c r="CF891" s="1"/>
      <c r="CG891" s="1"/>
      <c r="CH891" s="3"/>
      <c r="CI891" s="3"/>
    </row>
    <row r="892" spans="16:87">
      <c r="P892" s="1"/>
      <c r="Q892" s="2"/>
      <c r="R892" s="2"/>
      <c r="S892" s="2"/>
      <c r="T892" s="2"/>
      <c r="U892" s="2"/>
      <c r="V892" s="1"/>
      <c r="W892" s="1"/>
      <c r="X892" s="1"/>
      <c r="Y892" s="1"/>
      <c r="Z892" s="1"/>
      <c r="AA892" s="1"/>
      <c r="AB892" s="1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1"/>
      <c r="BY892" s="1"/>
      <c r="BZ892" s="1"/>
      <c r="CA892" s="1"/>
      <c r="CB892" s="1"/>
      <c r="CC892" s="1"/>
      <c r="CD892" s="3"/>
      <c r="CE892" s="3"/>
      <c r="CF892" s="1"/>
      <c r="CG892" s="1"/>
      <c r="CH892" s="3"/>
      <c r="CI892" s="3"/>
    </row>
    <row r="893" spans="16:87">
      <c r="P893" s="1"/>
      <c r="Q893" s="2"/>
      <c r="R893" s="2"/>
      <c r="S893" s="2"/>
      <c r="T893" s="2"/>
      <c r="U893" s="2"/>
      <c r="V893" s="1"/>
      <c r="W893" s="1"/>
      <c r="X893" s="1"/>
      <c r="Y893" s="1"/>
      <c r="Z893" s="1"/>
      <c r="AA893" s="1"/>
      <c r="AB893" s="1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1"/>
      <c r="BY893" s="1"/>
      <c r="BZ893" s="1"/>
      <c r="CA893" s="1"/>
      <c r="CB893" s="1"/>
      <c r="CC893" s="1"/>
      <c r="CD893" s="3"/>
      <c r="CE893" s="3"/>
      <c r="CF893" s="1"/>
      <c r="CG893" s="1"/>
      <c r="CH893" s="3"/>
      <c r="CI893" s="3"/>
    </row>
    <row r="894" spans="16:87">
      <c r="P894" s="1"/>
      <c r="Q894" s="2"/>
      <c r="R894" s="2"/>
      <c r="S894" s="2"/>
      <c r="T894" s="2"/>
      <c r="U894" s="2"/>
      <c r="V894" s="1"/>
      <c r="W894" s="1"/>
      <c r="X894" s="1"/>
      <c r="Y894" s="1"/>
      <c r="Z894" s="1"/>
      <c r="AA894" s="1"/>
      <c r="AB894" s="1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1"/>
      <c r="BY894" s="1"/>
      <c r="BZ894" s="1"/>
      <c r="CA894" s="1"/>
      <c r="CB894" s="1"/>
      <c r="CC894" s="1"/>
      <c r="CD894" s="3"/>
      <c r="CE894" s="3"/>
      <c r="CF894" s="1"/>
      <c r="CG894" s="1"/>
      <c r="CH894" s="3"/>
      <c r="CI894" s="3"/>
    </row>
    <row r="895" spans="16:87">
      <c r="P895" s="1"/>
      <c r="Q895" s="2"/>
      <c r="R895" s="2"/>
      <c r="S895" s="2"/>
      <c r="T895" s="2"/>
      <c r="U895" s="2"/>
      <c r="V895" s="1"/>
      <c r="W895" s="1"/>
      <c r="X895" s="1"/>
      <c r="Y895" s="1"/>
      <c r="Z895" s="1"/>
      <c r="AA895" s="1"/>
      <c r="AB895" s="1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1"/>
      <c r="BY895" s="1"/>
      <c r="BZ895" s="1"/>
      <c r="CA895" s="1"/>
      <c r="CB895" s="1"/>
      <c r="CC895" s="1"/>
      <c r="CD895" s="3"/>
      <c r="CE895" s="3"/>
      <c r="CF895" s="1"/>
      <c r="CG895" s="1"/>
      <c r="CH895" s="3"/>
      <c r="CI895" s="3"/>
    </row>
    <row r="896" spans="16:87">
      <c r="P896" s="1"/>
      <c r="Q896" s="2"/>
      <c r="R896" s="2"/>
      <c r="S896" s="2"/>
      <c r="T896" s="2"/>
      <c r="U896" s="2"/>
      <c r="V896" s="1"/>
      <c r="W896" s="1"/>
      <c r="X896" s="1"/>
      <c r="Y896" s="1"/>
      <c r="Z896" s="1"/>
      <c r="AA896" s="1"/>
      <c r="AB896" s="1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1"/>
      <c r="BY896" s="1"/>
      <c r="BZ896" s="1"/>
      <c r="CA896" s="1"/>
      <c r="CB896" s="1"/>
      <c r="CC896" s="1"/>
      <c r="CD896" s="3"/>
      <c r="CE896" s="3"/>
      <c r="CF896" s="1"/>
      <c r="CG896" s="1"/>
      <c r="CH896" s="3"/>
      <c r="CI896" s="3"/>
    </row>
    <row r="897" spans="16:87">
      <c r="P897" s="1"/>
      <c r="Q897" s="2"/>
      <c r="R897" s="2"/>
      <c r="S897" s="2"/>
      <c r="T897" s="2"/>
      <c r="U897" s="2"/>
      <c r="V897" s="1"/>
      <c r="W897" s="1"/>
      <c r="X897" s="1"/>
      <c r="Y897" s="1"/>
      <c r="Z897" s="1"/>
      <c r="AA897" s="1"/>
      <c r="AB897" s="1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1"/>
      <c r="BY897" s="1"/>
      <c r="BZ897" s="1"/>
      <c r="CA897" s="1"/>
      <c r="CB897" s="1"/>
      <c r="CC897" s="1"/>
      <c r="CD897" s="3"/>
      <c r="CE897" s="3"/>
      <c r="CF897" s="1"/>
      <c r="CG897" s="1"/>
      <c r="CH897" s="3"/>
      <c r="CI897" s="3"/>
    </row>
    <row r="898" spans="16:87">
      <c r="P898" s="1"/>
      <c r="Q898" s="2"/>
      <c r="R898" s="2"/>
      <c r="S898" s="2"/>
      <c r="T898" s="2"/>
      <c r="U898" s="2"/>
      <c r="V898" s="1"/>
      <c r="W898" s="1"/>
      <c r="X898" s="1"/>
      <c r="Y898" s="1"/>
      <c r="Z898" s="1"/>
      <c r="AA898" s="1"/>
      <c r="AB898" s="1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1"/>
      <c r="BY898" s="1"/>
      <c r="BZ898" s="1"/>
      <c r="CA898" s="1"/>
      <c r="CB898" s="1"/>
      <c r="CC898" s="1"/>
      <c r="CD898" s="3"/>
      <c r="CE898" s="3"/>
      <c r="CF898" s="1"/>
      <c r="CG898" s="1"/>
      <c r="CH898" s="3"/>
      <c r="CI898" s="3"/>
    </row>
    <row r="899" spans="16:87">
      <c r="P899" s="1"/>
      <c r="Q899" s="2"/>
      <c r="R899" s="2"/>
      <c r="S899" s="2"/>
      <c r="T899" s="2"/>
      <c r="U899" s="2"/>
      <c r="V899" s="1"/>
      <c r="W899" s="1"/>
      <c r="X899" s="1"/>
      <c r="Y899" s="1"/>
      <c r="Z899" s="1"/>
      <c r="AA899" s="1"/>
      <c r="AB899" s="1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1"/>
      <c r="BY899" s="1"/>
      <c r="BZ899" s="1"/>
      <c r="CA899" s="1"/>
      <c r="CB899" s="1"/>
      <c r="CC899" s="1"/>
      <c r="CD899" s="3"/>
      <c r="CE899" s="3"/>
      <c r="CF899" s="1"/>
      <c r="CG899" s="1"/>
      <c r="CH899" s="3"/>
      <c r="CI899" s="3"/>
    </row>
    <row r="900" spans="16:87">
      <c r="P900" s="1"/>
      <c r="Q900" s="2"/>
      <c r="R900" s="2"/>
      <c r="S900" s="2"/>
      <c r="T900" s="2"/>
      <c r="U900" s="2"/>
      <c r="V900" s="1"/>
      <c r="W900" s="1"/>
      <c r="X900" s="1"/>
      <c r="Y900" s="1"/>
      <c r="Z900" s="1"/>
      <c r="AA900" s="1"/>
      <c r="AB900" s="1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1"/>
      <c r="BY900" s="1"/>
      <c r="BZ900" s="1"/>
      <c r="CA900" s="1"/>
      <c r="CB900" s="1"/>
      <c r="CC900" s="1"/>
      <c r="CD900" s="3"/>
      <c r="CE900" s="3"/>
      <c r="CF900" s="1"/>
      <c r="CG900" s="1"/>
      <c r="CH900" s="3"/>
      <c r="CI900" s="3"/>
    </row>
    <row r="901" spans="16:87">
      <c r="P901" s="1"/>
      <c r="Q901" s="2"/>
      <c r="R901" s="2"/>
      <c r="S901" s="2"/>
      <c r="T901" s="2"/>
      <c r="U901" s="2"/>
      <c r="V901" s="1"/>
      <c r="W901" s="1"/>
      <c r="X901" s="1"/>
      <c r="Y901" s="1"/>
      <c r="Z901" s="1"/>
      <c r="AA901" s="1"/>
      <c r="AB901" s="1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1"/>
      <c r="BY901" s="1"/>
      <c r="BZ901" s="1"/>
      <c r="CA901" s="1"/>
      <c r="CB901" s="1"/>
      <c r="CC901" s="1"/>
      <c r="CD901" s="3"/>
      <c r="CE901" s="3"/>
      <c r="CF901" s="1"/>
      <c r="CG901" s="1"/>
      <c r="CH901" s="3"/>
      <c r="CI901" s="3"/>
    </row>
    <row r="902" spans="16:87">
      <c r="P902" s="1"/>
      <c r="Q902" s="2"/>
      <c r="R902" s="2"/>
      <c r="S902" s="2"/>
      <c r="T902" s="2"/>
      <c r="U902" s="2"/>
      <c r="V902" s="1"/>
      <c r="W902" s="1"/>
      <c r="X902" s="1"/>
      <c r="Y902" s="1"/>
      <c r="Z902" s="1"/>
      <c r="AA902" s="1"/>
      <c r="AB902" s="1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1"/>
      <c r="BY902" s="1"/>
      <c r="BZ902" s="1"/>
      <c r="CA902" s="1"/>
      <c r="CB902" s="1"/>
      <c r="CC902" s="1"/>
      <c r="CD902" s="3"/>
      <c r="CE902" s="3"/>
      <c r="CF902" s="1"/>
      <c r="CG902" s="1"/>
      <c r="CH902" s="3"/>
      <c r="CI902" s="3"/>
    </row>
    <row r="903" spans="16:87">
      <c r="P903" s="1"/>
      <c r="Q903" s="2"/>
      <c r="R903" s="2"/>
      <c r="S903" s="2"/>
      <c r="T903" s="2"/>
      <c r="U903" s="2"/>
      <c r="V903" s="1"/>
      <c r="W903" s="1"/>
      <c r="X903" s="1"/>
      <c r="Y903" s="1"/>
      <c r="Z903" s="1"/>
      <c r="AA903" s="1"/>
      <c r="AB903" s="1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1"/>
      <c r="BY903" s="1"/>
      <c r="BZ903" s="1"/>
      <c r="CA903" s="1"/>
      <c r="CB903" s="1"/>
      <c r="CC903" s="1"/>
      <c r="CD903" s="3"/>
      <c r="CE903" s="3"/>
      <c r="CF903" s="1"/>
      <c r="CG903" s="1"/>
      <c r="CH903" s="3"/>
      <c r="CI903" s="3"/>
    </row>
    <row r="904" spans="16:87">
      <c r="P904" s="1"/>
      <c r="Q904" s="2"/>
      <c r="R904" s="2"/>
      <c r="S904" s="2"/>
      <c r="T904" s="2"/>
      <c r="U904" s="2"/>
      <c r="V904" s="1"/>
      <c r="W904" s="1"/>
      <c r="X904" s="1"/>
      <c r="Y904" s="1"/>
      <c r="Z904" s="1"/>
      <c r="AA904" s="1"/>
      <c r="AB904" s="1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1"/>
      <c r="BY904" s="1"/>
      <c r="BZ904" s="1"/>
      <c r="CA904" s="1"/>
      <c r="CB904" s="1"/>
      <c r="CC904" s="1"/>
      <c r="CD904" s="3"/>
      <c r="CE904" s="3"/>
      <c r="CF904" s="1"/>
      <c r="CG904" s="1"/>
      <c r="CH904" s="3"/>
      <c r="CI904" s="3"/>
    </row>
    <row r="905" spans="16:87">
      <c r="P905" s="1"/>
      <c r="Q905" s="2"/>
      <c r="R905" s="2"/>
      <c r="S905" s="2"/>
      <c r="T905" s="2"/>
      <c r="U905" s="2"/>
      <c r="V905" s="1"/>
      <c r="W905" s="1"/>
      <c r="X905" s="1"/>
      <c r="Y905" s="1"/>
      <c r="Z905" s="1"/>
      <c r="AA905" s="1"/>
      <c r="AB905" s="1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1"/>
      <c r="BY905" s="1"/>
      <c r="BZ905" s="1"/>
      <c r="CA905" s="1"/>
      <c r="CB905" s="1"/>
      <c r="CC905" s="1"/>
      <c r="CD905" s="3"/>
      <c r="CE905" s="3"/>
      <c r="CF905" s="1"/>
      <c r="CG905" s="1"/>
      <c r="CH905" s="3"/>
      <c r="CI905" s="3"/>
    </row>
    <row r="906" spans="16:87">
      <c r="P906" s="1"/>
      <c r="Q906" s="2"/>
      <c r="R906" s="2"/>
      <c r="S906" s="2"/>
      <c r="T906" s="2"/>
      <c r="U906" s="2"/>
      <c r="V906" s="1"/>
      <c r="W906" s="1"/>
      <c r="X906" s="1"/>
      <c r="Y906" s="1"/>
      <c r="Z906" s="1"/>
      <c r="AA906" s="1"/>
      <c r="AB906" s="1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1"/>
      <c r="BY906" s="1"/>
      <c r="BZ906" s="1"/>
      <c r="CA906" s="1"/>
      <c r="CB906" s="1"/>
      <c r="CC906" s="1"/>
      <c r="CD906" s="3"/>
      <c r="CE906" s="3"/>
      <c r="CF906" s="1"/>
      <c r="CG906" s="1"/>
      <c r="CH906" s="3"/>
      <c r="CI906" s="3"/>
    </row>
    <row r="907" spans="16:87">
      <c r="P907" s="1"/>
      <c r="Q907" s="2"/>
      <c r="R907" s="2"/>
      <c r="S907" s="2"/>
      <c r="T907" s="2"/>
      <c r="U907" s="2"/>
      <c r="V907" s="1"/>
      <c r="W907" s="1"/>
      <c r="X907" s="1"/>
      <c r="Y907" s="1"/>
      <c r="Z907" s="1"/>
      <c r="AA907" s="1"/>
      <c r="AB907" s="1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1"/>
      <c r="BY907" s="1"/>
      <c r="BZ907" s="1"/>
      <c r="CA907" s="1"/>
      <c r="CB907" s="1"/>
      <c r="CC907" s="1"/>
      <c r="CD907" s="3"/>
      <c r="CE907" s="3"/>
      <c r="CF907" s="1"/>
      <c r="CG907" s="1"/>
      <c r="CH907" s="3"/>
      <c r="CI907" s="3"/>
    </row>
    <row r="908" spans="16:87">
      <c r="P908" s="1"/>
      <c r="Q908" s="2"/>
      <c r="R908" s="2"/>
      <c r="S908" s="2"/>
      <c r="T908" s="2"/>
      <c r="U908" s="2"/>
      <c r="V908" s="1"/>
      <c r="W908" s="1"/>
      <c r="X908" s="1"/>
      <c r="Y908" s="1"/>
      <c r="Z908" s="1"/>
      <c r="AA908" s="1"/>
      <c r="AB908" s="1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1"/>
      <c r="BY908" s="1"/>
      <c r="BZ908" s="1"/>
      <c r="CA908" s="1"/>
      <c r="CB908" s="1"/>
      <c r="CC908" s="1"/>
      <c r="CD908" s="3"/>
      <c r="CE908" s="3"/>
      <c r="CF908" s="1"/>
      <c r="CG908" s="1"/>
      <c r="CH908" s="3"/>
      <c r="CI908" s="3"/>
    </row>
    <row r="909" spans="16:87">
      <c r="P909" s="1"/>
      <c r="Q909" s="2"/>
      <c r="R909" s="2"/>
      <c r="S909" s="2"/>
      <c r="T909" s="2"/>
      <c r="U909" s="2"/>
      <c r="V909" s="1"/>
      <c r="W909" s="1"/>
      <c r="X909" s="1"/>
      <c r="Y909" s="1"/>
      <c r="Z909" s="1"/>
      <c r="AA909" s="1"/>
      <c r="AB909" s="1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1"/>
      <c r="BY909" s="1"/>
      <c r="BZ909" s="1"/>
      <c r="CA909" s="1"/>
      <c r="CB909" s="1"/>
      <c r="CC909" s="1"/>
      <c r="CD909" s="3"/>
      <c r="CE909" s="3"/>
      <c r="CF909" s="1"/>
      <c r="CG909" s="1"/>
      <c r="CH909" s="3"/>
      <c r="CI909" s="3"/>
    </row>
    <row r="910" spans="16:87">
      <c r="P910" s="1"/>
      <c r="Q910" s="2"/>
      <c r="R910" s="2"/>
      <c r="S910" s="2"/>
      <c r="T910" s="2"/>
      <c r="U910" s="2"/>
      <c r="V910" s="1"/>
      <c r="W910" s="1"/>
      <c r="X910" s="1"/>
      <c r="Y910" s="1"/>
      <c r="Z910" s="1"/>
      <c r="AA910" s="1"/>
      <c r="AB910" s="1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1"/>
      <c r="BY910" s="1"/>
      <c r="BZ910" s="1"/>
      <c r="CA910" s="1"/>
      <c r="CB910" s="1"/>
      <c r="CC910" s="1"/>
      <c r="CD910" s="3"/>
      <c r="CE910" s="3"/>
      <c r="CF910" s="1"/>
      <c r="CG910" s="1"/>
      <c r="CH910" s="3"/>
      <c r="CI910" s="3"/>
    </row>
    <row r="911" spans="16:87">
      <c r="P911" s="1"/>
      <c r="Q911" s="2"/>
      <c r="R911" s="2"/>
      <c r="S911" s="2"/>
      <c r="T911" s="2"/>
      <c r="U911" s="2"/>
      <c r="V911" s="1"/>
      <c r="W911" s="1"/>
      <c r="X911" s="1"/>
      <c r="Y911" s="1"/>
      <c r="Z911" s="1"/>
      <c r="AA911" s="1"/>
      <c r="AB911" s="1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1"/>
      <c r="BY911" s="1"/>
      <c r="BZ911" s="1"/>
      <c r="CA911" s="1"/>
      <c r="CB911" s="1"/>
      <c r="CC911" s="1"/>
      <c r="CD911" s="3"/>
      <c r="CE911" s="3"/>
      <c r="CF911" s="1"/>
      <c r="CG911" s="1"/>
      <c r="CH911" s="3"/>
      <c r="CI911" s="3"/>
    </row>
    <row r="912" spans="16:87">
      <c r="P912" s="1"/>
      <c r="Q912" s="2"/>
      <c r="R912" s="2"/>
      <c r="S912" s="2"/>
      <c r="T912" s="2"/>
      <c r="U912" s="2"/>
      <c r="V912" s="1"/>
      <c r="W912" s="1"/>
      <c r="X912" s="1"/>
      <c r="Y912" s="1"/>
      <c r="Z912" s="1"/>
      <c r="AA912" s="1"/>
      <c r="AB912" s="1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1"/>
      <c r="BY912" s="1"/>
      <c r="BZ912" s="1"/>
      <c r="CA912" s="1"/>
      <c r="CB912" s="1"/>
      <c r="CC912" s="1"/>
      <c r="CD912" s="3"/>
      <c r="CE912" s="3"/>
      <c r="CF912" s="1"/>
      <c r="CG912" s="1"/>
      <c r="CH912" s="3"/>
      <c r="CI912" s="3"/>
    </row>
    <row r="913" spans="16:87">
      <c r="P913" s="1"/>
      <c r="Q913" s="2"/>
      <c r="R913" s="2"/>
      <c r="S913" s="2"/>
      <c r="T913" s="2"/>
      <c r="U913" s="2"/>
      <c r="V913" s="1"/>
      <c r="W913" s="1"/>
      <c r="X913" s="1"/>
      <c r="Y913" s="1"/>
      <c r="Z913" s="1"/>
      <c r="AA913" s="1"/>
      <c r="AB913" s="1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1"/>
      <c r="BY913" s="1"/>
      <c r="BZ913" s="1"/>
      <c r="CA913" s="1"/>
      <c r="CB913" s="1"/>
      <c r="CC913" s="1"/>
      <c r="CD913" s="3"/>
      <c r="CE913" s="3"/>
      <c r="CF913" s="1"/>
      <c r="CG913" s="1"/>
      <c r="CH913" s="3"/>
      <c r="CI913" s="3"/>
    </row>
    <row r="914" spans="16:87">
      <c r="P914" s="1"/>
      <c r="Q914" s="2"/>
      <c r="R914" s="2"/>
      <c r="S914" s="2"/>
      <c r="T914" s="2"/>
      <c r="U914" s="2"/>
      <c r="V914" s="1"/>
      <c r="W914" s="1"/>
      <c r="X914" s="1"/>
      <c r="Y914" s="1"/>
      <c r="Z914" s="1"/>
      <c r="AA914" s="1"/>
      <c r="AB914" s="1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1"/>
      <c r="BY914" s="1"/>
      <c r="BZ914" s="1"/>
      <c r="CA914" s="1"/>
      <c r="CB914" s="1"/>
      <c r="CC914" s="1"/>
      <c r="CD914" s="3"/>
      <c r="CE914" s="3"/>
      <c r="CF914" s="1"/>
      <c r="CG914" s="1"/>
      <c r="CH914" s="3"/>
      <c r="CI914" s="3"/>
    </row>
    <row r="915" spans="16:87">
      <c r="P915" s="1"/>
      <c r="Q915" s="2"/>
      <c r="R915" s="2"/>
      <c r="S915" s="2"/>
      <c r="T915" s="2"/>
      <c r="U915" s="2"/>
      <c r="V915" s="1"/>
      <c r="W915" s="1"/>
      <c r="X915" s="1"/>
      <c r="Y915" s="1"/>
      <c r="Z915" s="1"/>
      <c r="AA915" s="1"/>
      <c r="AB915" s="1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1"/>
      <c r="BY915" s="1"/>
      <c r="BZ915" s="1"/>
      <c r="CA915" s="1"/>
      <c r="CB915" s="1"/>
      <c r="CC915" s="1"/>
      <c r="CD915" s="3"/>
      <c r="CE915" s="3"/>
      <c r="CF915" s="1"/>
      <c r="CG915" s="1"/>
      <c r="CH915" s="3"/>
      <c r="CI915" s="3"/>
    </row>
    <row r="916" spans="16:87">
      <c r="P916" s="1"/>
      <c r="Q916" s="2"/>
      <c r="R916" s="2"/>
      <c r="S916" s="2"/>
      <c r="T916" s="2"/>
      <c r="U916" s="2"/>
      <c r="V916" s="1"/>
      <c r="W916" s="1"/>
      <c r="X916" s="1"/>
      <c r="Y916" s="1"/>
      <c r="Z916" s="1"/>
      <c r="AA916" s="1"/>
      <c r="AB916" s="1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1"/>
      <c r="BY916" s="1"/>
      <c r="BZ916" s="1"/>
      <c r="CA916" s="1"/>
      <c r="CB916" s="1"/>
      <c r="CC916" s="1"/>
      <c r="CD916" s="3"/>
      <c r="CE916" s="3"/>
      <c r="CF916" s="1"/>
      <c r="CG916" s="1"/>
      <c r="CH916" s="3"/>
      <c r="CI916" s="3"/>
    </row>
    <row r="917" spans="16:87">
      <c r="P917" s="1"/>
      <c r="Q917" s="2"/>
      <c r="R917" s="2"/>
      <c r="S917" s="2"/>
      <c r="T917" s="2"/>
      <c r="U917" s="2"/>
      <c r="V917" s="1"/>
      <c r="W917" s="1"/>
      <c r="X917" s="1"/>
      <c r="Y917" s="1"/>
      <c r="Z917" s="1"/>
      <c r="AA917" s="1"/>
      <c r="AB917" s="1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1"/>
      <c r="BY917" s="1"/>
      <c r="BZ917" s="1"/>
      <c r="CA917" s="1"/>
      <c r="CB917" s="1"/>
      <c r="CC917" s="1"/>
      <c r="CD917" s="3"/>
      <c r="CE917" s="3"/>
      <c r="CF917" s="1"/>
      <c r="CG917" s="1"/>
      <c r="CH917" s="3"/>
      <c r="CI917" s="3"/>
    </row>
    <row r="918" spans="16:87">
      <c r="P918" s="1"/>
      <c r="Q918" s="2"/>
      <c r="R918" s="2"/>
      <c r="S918" s="2"/>
      <c r="T918" s="2"/>
      <c r="U918" s="2"/>
      <c r="V918" s="1"/>
      <c r="W918" s="1"/>
      <c r="X918" s="1"/>
      <c r="Y918" s="1"/>
      <c r="Z918" s="1"/>
      <c r="AA918" s="1"/>
      <c r="AB918" s="1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1"/>
      <c r="BY918" s="1"/>
      <c r="BZ918" s="1"/>
      <c r="CA918" s="1"/>
      <c r="CB918" s="1"/>
      <c r="CC918" s="1"/>
      <c r="CD918" s="3"/>
      <c r="CE918" s="3"/>
      <c r="CF918" s="1"/>
      <c r="CG918" s="1"/>
      <c r="CH918" s="3"/>
      <c r="CI918" s="3"/>
    </row>
    <row r="919" spans="16:87">
      <c r="P919" s="1"/>
      <c r="Q919" s="2"/>
      <c r="R919" s="2"/>
      <c r="S919" s="2"/>
      <c r="T919" s="2"/>
      <c r="U919" s="2"/>
      <c r="V919" s="1"/>
      <c r="W919" s="1"/>
      <c r="X919" s="1"/>
      <c r="Y919" s="1"/>
      <c r="Z919" s="1"/>
      <c r="AA919" s="1"/>
      <c r="AB919" s="1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1"/>
      <c r="BY919" s="1"/>
      <c r="BZ919" s="1"/>
      <c r="CA919" s="1"/>
      <c r="CB919" s="1"/>
      <c r="CC919" s="1"/>
      <c r="CD919" s="3"/>
      <c r="CE919" s="3"/>
      <c r="CF919" s="1"/>
      <c r="CG919" s="1"/>
      <c r="CH919" s="3"/>
      <c r="CI919" s="3"/>
    </row>
    <row r="920" spans="16:87">
      <c r="P920" s="1"/>
      <c r="Q920" s="2"/>
      <c r="R920" s="2"/>
      <c r="S920" s="2"/>
      <c r="T920" s="2"/>
      <c r="U920" s="2"/>
      <c r="V920" s="1"/>
      <c r="W920" s="1"/>
      <c r="X920" s="1"/>
      <c r="Y920" s="1"/>
      <c r="Z920" s="1"/>
      <c r="AA920" s="1"/>
      <c r="AB920" s="1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1"/>
      <c r="BY920" s="1"/>
      <c r="BZ920" s="1"/>
      <c r="CA920" s="1"/>
      <c r="CB920" s="1"/>
      <c r="CC920" s="1"/>
      <c r="CD920" s="3"/>
      <c r="CE920" s="3"/>
      <c r="CF920" s="1"/>
      <c r="CG920" s="1"/>
      <c r="CH920" s="3"/>
      <c r="CI920" s="3"/>
    </row>
    <row r="921" spans="16:87">
      <c r="P921" s="1"/>
      <c r="Q921" s="2"/>
      <c r="R921" s="2"/>
      <c r="S921" s="2"/>
      <c r="T921" s="2"/>
      <c r="U921" s="2"/>
      <c r="V921" s="1"/>
      <c r="W921" s="1"/>
      <c r="X921" s="1"/>
      <c r="Y921" s="1"/>
      <c r="Z921" s="1"/>
      <c r="AA921" s="1"/>
      <c r="AB921" s="1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1"/>
      <c r="BY921" s="1"/>
      <c r="BZ921" s="1"/>
      <c r="CA921" s="1"/>
      <c r="CB921" s="1"/>
      <c r="CC921" s="1"/>
      <c r="CD921" s="3"/>
      <c r="CE921" s="3"/>
      <c r="CF921" s="1"/>
      <c r="CG921" s="1"/>
      <c r="CH921" s="3"/>
      <c r="CI921" s="3"/>
    </row>
    <row r="922" spans="16:87">
      <c r="P922" s="1"/>
      <c r="Q922" s="2"/>
      <c r="R922" s="2"/>
      <c r="S922" s="2"/>
      <c r="T922" s="2"/>
      <c r="U922" s="2"/>
      <c r="V922" s="1"/>
      <c r="W922" s="1"/>
      <c r="X922" s="1"/>
      <c r="Y922" s="1"/>
      <c r="Z922" s="1"/>
      <c r="AA922" s="1"/>
      <c r="AB922" s="1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1"/>
      <c r="BY922" s="1"/>
      <c r="BZ922" s="1"/>
      <c r="CA922" s="1"/>
      <c r="CB922" s="1"/>
      <c r="CC922" s="1"/>
      <c r="CD922" s="3"/>
      <c r="CE922" s="3"/>
      <c r="CF922" s="1"/>
      <c r="CG922" s="1"/>
      <c r="CH922" s="3"/>
      <c r="CI922" s="3"/>
    </row>
    <row r="923" spans="16:87">
      <c r="P923" s="1"/>
      <c r="Q923" s="2"/>
      <c r="R923" s="2"/>
      <c r="S923" s="2"/>
      <c r="T923" s="2"/>
      <c r="U923" s="2"/>
      <c r="V923" s="1"/>
      <c r="W923" s="1"/>
      <c r="X923" s="1"/>
      <c r="Y923" s="1"/>
      <c r="Z923" s="1"/>
      <c r="AA923" s="1"/>
      <c r="AB923" s="1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1"/>
      <c r="BY923" s="1"/>
      <c r="BZ923" s="1"/>
      <c r="CA923" s="1"/>
      <c r="CB923" s="1"/>
      <c r="CC923" s="1"/>
      <c r="CD923" s="3"/>
      <c r="CE923" s="3"/>
      <c r="CF923" s="1"/>
      <c r="CG923" s="1"/>
      <c r="CH923" s="3"/>
      <c r="CI923" s="3"/>
    </row>
    <row r="924" spans="16:87">
      <c r="P924" s="1"/>
      <c r="Q924" s="2"/>
      <c r="R924" s="2"/>
      <c r="S924" s="2"/>
      <c r="T924" s="2"/>
      <c r="U924" s="2"/>
      <c r="V924" s="1"/>
      <c r="W924" s="1"/>
      <c r="X924" s="1"/>
      <c r="Y924" s="1"/>
      <c r="Z924" s="1"/>
      <c r="AA924" s="1"/>
      <c r="AB924" s="1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1"/>
      <c r="BY924" s="1"/>
      <c r="BZ924" s="1"/>
      <c r="CA924" s="1"/>
      <c r="CB924" s="1"/>
      <c r="CC924" s="1"/>
      <c r="CD924" s="3"/>
      <c r="CE924" s="3"/>
      <c r="CF924" s="1"/>
      <c r="CG924" s="1"/>
      <c r="CH924" s="3"/>
      <c r="CI924" s="3"/>
    </row>
    <row r="925" spans="16:87">
      <c r="P925" s="1"/>
      <c r="Q925" s="2"/>
      <c r="R925" s="2"/>
      <c r="S925" s="2"/>
      <c r="T925" s="2"/>
      <c r="U925" s="2"/>
      <c r="V925" s="1"/>
      <c r="W925" s="1"/>
      <c r="X925" s="1"/>
      <c r="Y925" s="1"/>
      <c r="Z925" s="1"/>
      <c r="AA925" s="1"/>
      <c r="AB925" s="1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1"/>
      <c r="BY925" s="1"/>
      <c r="BZ925" s="1"/>
      <c r="CA925" s="1"/>
      <c r="CB925" s="1"/>
      <c r="CC925" s="1"/>
      <c r="CD925" s="3"/>
      <c r="CE925" s="3"/>
      <c r="CF925" s="1"/>
      <c r="CG925" s="1"/>
      <c r="CH925" s="3"/>
      <c r="CI925" s="3"/>
    </row>
    <row r="926" spans="16:87">
      <c r="P926" s="1"/>
      <c r="Q926" s="2"/>
      <c r="R926" s="2"/>
      <c r="S926" s="2"/>
      <c r="T926" s="2"/>
      <c r="U926" s="2"/>
      <c r="V926" s="1"/>
      <c r="W926" s="1"/>
      <c r="X926" s="1"/>
      <c r="Y926" s="1"/>
      <c r="Z926" s="1"/>
      <c r="AA926" s="1"/>
      <c r="AB926" s="1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1"/>
      <c r="BY926" s="1"/>
      <c r="BZ926" s="1"/>
      <c r="CA926" s="1"/>
      <c r="CB926" s="1"/>
      <c r="CC926" s="1"/>
      <c r="CD926" s="3"/>
      <c r="CE926" s="3"/>
      <c r="CF926" s="1"/>
      <c r="CG926" s="1"/>
      <c r="CH926" s="3"/>
      <c r="CI926" s="3"/>
    </row>
    <row r="927" spans="16:87">
      <c r="P927" s="1"/>
      <c r="Q927" s="2"/>
      <c r="R927" s="2"/>
      <c r="S927" s="2"/>
      <c r="T927" s="2"/>
      <c r="U927" s="2"/>
      <c r="V927" s="1"/>
      <c r="W927" s="1"/>
      <c r="X927" s="1"/>
      <c r="Y927" s="1"/>
      <c r="Z927" s="1"/>
      <c r="AA927" s="1"/>
      <c r="AB927" s="1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1"/>
      <c r="BY927" s="1"/>
      <c r="BZ927" s="1"/>
      <c r="CA927" s="1"/>
      <c r="CB927" s="1"/>
      <c r="CC927" s="1"/>
      <c r="CD927" s="3"/>
      <c r="CE927" s="3"/>
      <c r="CF927" s="1"/>
      <c r="CG927" s="1"/>
      <c r="CH927" s="3"/>
      <c r="CI927" s="3"/>
    </row>
    <row r="928" spans="16:87">
      <c r="P928" s="1"/>
      <c r="Q928" s="2"/>
      <c r="R928" s="2"/>
      <c r="S928" s="2"/>
      <c r="T928" s="2"/>
      <c r="U928" s="2"/>
      <c r="V928" s="1"/>
      <c r="W928" s="1"/>
      <c r="X928" s="1"/>
      <c r="Y928" s="1"/>
      <c r="Z928" s="1"/>
      <c r="AA928" s="1"/>
      <c r="AB928" s="1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1"/>
      <c r="BY928" s="1"/>
      <c r="BZ928" s="1"/>
      <c r="CA928" s="1"/>
      <c r="CB928" s="1"/>
      <c r="CC928" s="1"/>
      <c r="CD928" s="3"/>
      <c r="CE928" s="3"/>
      <c r="CF928" s="1"/>
      <c r="CG928" s="1"/>
      <c r="CH928" s="3"/>
      <c r="CI928" s="3"/>
    </row>
    <row r="929" spans="16:87">
      <c r="P929" s="1"/>
      <c r="Q929" s="2"/>
      <c r="R929" s="2"/>
      <c r="S929" s="2"/>
      <c r="T929" s="2"/>
      <c r="U929" s="2"/>
      <c r="V929" s="1"/>
      <c r="W929" s="1"/>
      <c r="X929" s="1"/>
      <c r="Y929" s="1"/>
      <c r="Z929" s="1"/>
      <c r="AA929" s="1"/>
      <c r="AB929" s="1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1"/>
      <c r="BY929" s="1"/>
      <c r="BZ929" s="1"/>
      <c r="CA929" s="1"/>
      <c r="CB929" s="1"/>
      <c r="CC929" s="1"/>
      <c r="CD929" s="3"/>
      <c r="CE929" s="3"/>
      <c r="CF929" s="1"/>
      <c r="CG929" s="1"/>
      <c r="CH929" s="3"/>
      <c r="CI929" s="3"/>
    </row>
    <row r="930" spans="16:87">
      <c r="P930" s="1"/>
      <c r="Q930" s="2"/>
      <c r="R930" s="2"/>
      <c r="S930" s="2"/>
      <c r="T930" s="2"/>
      <c r="U930" s="2"/>
      <c r="V930" s="1"/>
      <c r="W930" s="1"/>
      <c r="X930" s="1"/>
      <c r="Y930" s="1"/>
      <c r="Z930" s="1"/>
      <c r="AA930" s="1"/>
      <c r="AB930" s="1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1"/>
      <c r="BY930" s="1"/>
      <c r="BZ930" s="1"/>
      <c r="CA930" s="1"/>
      <c r="CB930" s="1"/>
      <c r="CC930" s="1"/>
      <c r="CD930" s="3"/>
      <c r="CE930" s="3"/>
      <c r="CF930" s="1"/>
      <c r="CG930" s="1"/>
      <c r="CH930" s="3"/>
      <c r="CI930" s="3"/>
    </row>
    <row r="931" spans="16:87">
      <c r="P931" s="1"/>
      <c r="Q931" s="2"/>
      <c r="R931" s="2"/>
      <c r="S931" s="2"/>
      <c r="T931" s="2"/>
      <c r="U931" s="2"/>
      <c r="V931" s="1"/>
      <c r="W931" s="1"/>
      <c r="X931" s="1"/>
      <c r="Y931" s="1"/>
      <c r="Z931" s="1"/>
      <c r="AA931" s="1"/>
      <c r="AB931" s="1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1"/>
      <c r="BY931" s="1"/>
      <c r="BZ931" s="1"/>
      <c r="CA931" s="1"/>
      <c r="CB931" s="1"/>
      <c r="CC931" s="1"/>
      <c r="CD931" s="3"/>
      <c r="CE931" s="3"/>
      <c r="CF931" s="1"/>
      <c r="CG931" s="1"/>
      <c r="CH931" s="3"/>
      <c r="CI931" s="3"/>
    </row>
    <row r="932" spans="16:87">
      <c r="P932" s="1"/>
      <c r="Q932" s="2"/>
      <c r="R932" s="2"/>
      <c r="S932" s="2"/>
      <c r="T932" s="2"/>
      <c r="U932" s="2"/>
      <c r="V932" s="1"/>
      <c r="W932" s="1"/>
      <c r="X932" s="1"/>
      <c r="Y932" s="1"/>
      <c r="Z932" s="1"/>
      <c r="AA932" s="1"/>
      <c r="AB932" s="1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1"/>
      <c r="BY932" s="1"/>
      <c r="BZ932" s="1"/>
      <c r="CA932" s="1"/>
      <c r="CB932" s="1"/>
      <c r="CC932" s="1"/>
      <c r="CD932" s="3"/>
      <c r="CE932" s="3"/>
      <c r="CF932" s="1"/>
      <c r="CG932" s="1"/>
      <c r="CH932" s="3"/>
      <c r="CI932" s="3"/>
    </row>
    <row r="933" spans="16:87">
      <c r="P933" s="1"/>
      <c r="Q933" s="2"/>
      <c r="R933" s="2"/>
      <c r="S933" s="2"/>
      <c r="T933" s="2"/>
      <c r="U933" s="2"/>
      <c r="V933" s="1"/>
      <c r="W933" s="1"/>
      <c r="X933" s="1"/>
      <c r="Y933" s="1"/>
      <c r="Z933" s="1"/>
      <c r="AA933" s="1"/>
      <c r="AB933" s="1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1"/>
      <c r="BY933" s="1"/>
      <c r="BZ933" s="1"/>
      <c r="CA933" s="1"/>
      <c r="CB933" s="1"/>
      <c r="CC933" s="1"/>
      <c r="CD933" s="3"/>
      <c r="CE933" s="3"/>
      <c r="CF933" s="1"/>
      <c r="CG933" s="1"/>
      <c r="CH933" s="3"/>
      <c r="CI933" s="3"/>
    </row>
    <row r="934" spans="16:87">
      <c r="P934" s="1"/>
      <c r="Q934" s="2"/>
      <c r="R934" s="2"/>
      <c r="S934" s="2"/>
      <c r="T934" s="2"/>
      <c r="U934" s="2"/>
      <c r="V934" s="1"/>
      <c r="W934" s="1"/>
      <c r="X934" s="1"/>
      <c r="Y934" s="1"/>
      <c r="Z934" s="1"/>
      <c r="AA934" s="1"/>
      <c r="AB934" s="1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1"/>
      <c r="BY934" s="1"/>
      <c r="BZ934" s="1"/>
      <c r="CA934" s="1"/>
      <c r="CB934" s="1"/>
      <c r="CC934" s="1"/>
      <c r="CD934" s="3"/>
      <c r="CE934" s="3"/>
      <c r="CF934" s="1"/>
      <c r="CG934" s="1"/>
      <c r="CH934" s="3"/>
      <c r="CI934" s="3"/>
    </row>
    <row r="935" spans="16:87">
      <c r="P935" s="1"/>
      <c r="Q935" s="2"/>
      <c r="R935" s="2"/>
      <c r="S935" s="2"/>
      <c r="T935" s="2"/>
      <c r="U935" s="2"/>
      <c r="V935" s="1"/>
      <c r="W935" s="1"/>
      <c r="X935" s="1"/>
      <c r="Y935" s="1"/>
      <c r="Z935" s="1"/>
      <c r="AA935" s="1"/>
      <c r="AB935" s="1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1"/>
      <c r="BY935" s="1"/>
      <c r="BZ935" s="1"/>
      <c r="CA935" s="1"/>
      <c r="CB935" s="1"/>
      <c r="CC935" s="1"/>
      <c r="CD935" s="3"/>
      <c r="CE935" s="3"/>
      <c r="CF935" s="1"/>
      <c r="CG935" s="1"/>
      <c r="CH935" s="3"/>
      <c r="CI935" s="3"/>
    </row>
    <row r="936" spans="16:87">
      <c r="P936" s="1"/>
      <c r="Q936" s="2"/>
      <c r="R936" s="2"/>
      <c r="S936" s="2"/>
      <c r="T936" s="2"/>
      <c r="U936" s="2"/>
      <c r="V936" s="1"/>
      <c r="W936" s="1"/>
      <c r="X936" s="1"/>
      <c r="Y936" s="1"/>
      <c r="Z936" s="1"/>
      <c r="AA936" s="1"/>
      <c r="AB936" s="1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1"/>
      <c r="BY936" s="1"/>
      <c r="BZ936" s="1"/>
      <c r="CA936" s="1"/>
      <c r="CB936" s="1"/>
      <c r="CC936" s="1"/>
      <c r="CD936" s="3"/>
      <c r="CE936" s="3"/>
      <c r="CF936" s="1"/>
      <c r="CG936" s="1"/>
      <c r="CH936" s="3"/>
      <c r="CI936" s="3"/>
    </row>
    <row r="937" spans="16:87">
      <c r="P937" s="1"/>
      <c r="Q937" s="2"/>
      <c r="R937" s="2"/>
      <c r="S937" s="2"/>
      <c r="T937" s="2"/>
      <c r="U937" s="2"/>
      <c r="V937" s="1"/>
      <c r="W937" s="1"/>
      <c r="X937" s="1"/>
      <c r="Y937" s="1"/>
      <c r="Z937" s="1"/>
      <c r="AA937" s="1"/>
      <c r="AB937" s="1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1"/>
      <c r="BY937" s="1"/>
      <c r="BZ937" s="1"/>
      <c r="CA937" s="1"/>
      <c r="CB937" s="1"/>
      <c r="CC937" s="1"/>
      <c r="CD937" s="3"/>
      <c r="CE937" s="3"/>
      <c r="CF937" s="1"/>
      <c r="CG937" s="1"/>
      <c r="CH937" s="3"/>
      <c r="CI937" s="3"/>
    </row>
    <row r="938" spans="16:87">
      <c r="P938" s="1"/>
      <c r="Q938" s="2"/>
      <c r="R938" s="2"/>
      <c r="S938" s="2"/>
      <c r="T938" s="2"/>
      <c r="U938" s="2"/>
      <c r="V938" s="1"/>
      <c r="W938" s="1"/>
      <c r="X938" s="1"/>
      <c r="Y938" s="1"/>
      <c r="Z938" s="1"/>
      <c r="AA938" s="1"/>
      <c r="AB938" s="1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1"/>
      <c r="BY938" s="1"/>
      <c r="BZ938" s="1"/>
      <c r="CA938" s="1"/>
      <c r="CB938" s="1"/>
      <c r="CC938" s="1"/>
      <c r="CD938" s="3"/>
      <c r="CE938" s="3"/>
      <c r="CF938" s="1"/>
      <c r="CG938" s="1"/>
      <c r="CH938" s="3"/>
      <c r="CI938" s="3"/>
    </row>
    <row r="939" spans="16:87">
      <c r="P939" s="1"/>
      <c r="Q939" s="2"/>
      <c r="R939" s="2"/>
      <c r="S939" s="2"/>
      <c r="T939" s="2"/>
      <c r="U939" s="2"/>
      <c r="V939" s="1"/>
      <c r="W939" s="1"/>
      <c r="X939" s="1"/>
      <c r="Y939" s="1"/>
      <c r="Z939" s="1"/>
      <c r="AA939" s="1"/>
      <c r="AB939" s="1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1"/>
      <c r="BY939" s="1"/>
      <c r="BZ939" s="1"/>
      <c r="CA939" s="1"/>
      <c r="CB939" s="1"/>
      <c r="CC939" s="1"/>
      <c r="CD939" s="3"/>
      <c r="CE939" s="3"/>
      <c r="CF939" s="1"/>
      <c r="CG939" s="1"/>
      <c r="CH939" s="3"/>
      <c r="CI939" s="3"/>
    </row>
    <row r="940" spans="16:87">
      <c r="P940" s="1"/>
      <c r="Q940" s="2"/>
      <c r="R940" s="2"/>
      <c r="S940" s="2"/>
      <c r="T940" s="2"/>
      <c r="U940" s="2"/>
      <c r="V940" s="1"/>
      <c r="W940" s="1"/>
      <c r="X940" s="1"/>
      <c r="Y940" s="1"/>
      <c r="Z940" s="1"/>
      <c r="AA940" s="1"/>
      <c r="AB940" s="1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1"/>
      <c r="BY940" s="1"/>
      <c r="BZ940" s="1"/>
      <c r="CA940" s="1"/>
      <c r="CB940" s="1"/>
      <c r="CC940" s="1"/>
      <c r="CD940" s="3"/>
      <c r="CE940" s="3"/>
      <c r="CF940" s="1"/>
      <c r="CG940" s="1"/>
      <c r="CH940" s="3"/>
      <c r="CI940" s="3"/>
    </row>
    <row r="941" spans="16:87">
      <c r="P941" s="1"/>
      <c r="Q941" s="2"/>
      <c r="R941" s="2"/>
      <c r="S941" s="2"/>
      <c r="T941" s="2"/>
      <c r="U941" s="2"/>
      <c r="V941" s="1"/>
      <c r="W941" s="1"/>
      <c r="X941" s="1"/>
      <c r="Y941" s="1"/>
      <c r="Z941" s="1"/>
      <c r="AA941" s="1"/>
      <c r="AB941" s="1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1"/>
      <c r="BY941" s="1"/>
      <c r="BZ941" s="1"/>
      <c r="CA941" s="1"/>
      <c r="CB941" s="1"/>
      <c r="CC941" s="1"/>
      <c r="CD941" s="3"/>
      <c r="CE941" s="3"/>
      <c r="CF941" s="1"/>
      <c r="CG941" s="1"/>
      <c r="CH941" s="3"/>
      <c r="CI941" s="3"/>
    </row>
    <row r="942" spans="16:87">
      <c r="P942" s="1"/>
      <c r="Q942" s="2"/>
      <c r="R942" s="2"/>
      <c r="S942" s="2"/>
      <c r="T942" s="2"/>
      <c r="U942" s="2"/>
      <c r="V942" s="1"/>
      <c r="W942" s="1"/>
      <c r="X942" s="1"/>
      <c r="Y942" s="1"/>
      <c r="Z942" s="1"/>
      <c r="AA942" s="1"/>
      <c r="AB942" s="1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1"/>
      <c r="BY942" s="1"/>
      <c r="BZ942" s="1"/>
      <c r="CA942" s="1"/>
      <c r="CB942" s="1"/>
      <c r="CC942" s="1"/>
      <c r="CD942" s="3"/>
      <c r="CE942" s="3"/>
      <c r="CF942" s="1"/>
      <c r="CG942" s="1"/>
      <c r="CH942" s="3"/>
      <c r="CI942" s="3"/>
    </row>
    <row r="943" spans="16:87">
      <c r="P943" s="1"/>
      <c r="Q943" s="2"/>
      <c r="R943" s="2"/>
      <c r="S943" s="2"/>
      <c r="T943" s="2"/>
      <c r="U943" s="2"/>
      <c r="V943" s="1"/>
      <c r="W943" s="1"/>
      <c r="X943" s="1"/>
      <c r="Y943" s="1"/>
      <c r="Z943" s="1"/>
      <c r="AA943" s="1"/>
      <c r="AB943" s="1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1"/>
      <c r="BY943" s="1"/>
      <c r="BZ943" s="1"/>
      <c r="CA943" s="1"/>
      <c r="CB943" s="1"/>
      <c r="CC943" s="1"/>
      <c r="CD943" s="3"/>
      <c r="CE943" s="3"/>
      <c r="CF943" s="1"/>
      <c r="CG943" s="1"/>
      <c r="CH943" s="3"/>
      <c r="CI943" s="3"/>
    </row>
    <row r="944" spans="16:87">
      <c r="P944" s="1"/>
      <c r="Q944" s="2"/>
      <c r="R944" s="2"/>
      <c r="S944" s="2"/>
      <c r="T944" s="2"/>
      <c r="U944" s="2"/>
      <c r="V944" s="1"/>
      <c r="W944" s="1"/>
      <c r="X944" s="1"/>
      <c r="Y944" s="1"/>
      <c r="Z944" s="1"/>
      <c r="AA944" s="1"/>
      <c r="AB944" s="1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1"/>
      <c r="BY944" s="1"/>
      <c r="BZ944" s="1"/>
      <c r="CA944" s="1"/>
      <c r="CB944" s="1"/>
      <c r="CC944" s="1"/>
      <c r="CD944" s="3"/>
      <c r="CE944" s="3"/>
      <c r="CF944" s="1"/>
      <c r="CG944" s="1"/>
      <c r="CH944" s="3"/>
      <c r="CI944" s="3"/>
    </row>
    <row r="945" spans="16:87">
      <c r="P945" s="1"/>
      <c r="Q945" s="2"/>
      <c r="R945" s="2"/>
      <c r="S945" s="2"/>
      <c r="T945" s="2"/>
      <c r="U945" s="2"/>
      <c r="V945" s="1"/>
      <c r="W945" s="1"/>
      <c r="X945" s="1"/>
      <c r="Y945" s="1"/>
      <c r="Z945" s="1"/>
      <c r="AA945" s="1"/>
      <c r="AB945" s="1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1"/>
      <c r="BY945" s="1"/>
      <c r="BZ945" s="1"/>
      <c r="CA945" s="1"/>
      <c r="CB945" s="1"/>
      <c r="CC945" s="1"/>
      <c r="CD945" s="3"/>
      <c r="CE945" s="3"/>
      <c r="CF945" s="1"/>
      <c r="CG945" s="1"/>
      <c r="CH945" s="3"/>
      <c r="CI945" s="3"/>
    </row>
    <row r="946" spans="16:87">
      <c r="P946" s="1"/>
      <c r="Q946" s="2"/>
      <c r="R946" s="2"/>
      <c r="S946" s="2"/>
      <c r="T946" s="2"/>
      <c r="U946" s="2"/>
      <c r="V946" s="1"/>
      <c r="W946" s="1"/>
      <c r="X946" s="1"/>
      <c r="Y946" s="1"/>
      <c r="Z946" s="1"/>
      <c r="AA946" s="1"/>
      <c r="AB946" s="1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1"/>
      <c r="BY946" s="1"/>
      <c r="BZ946" s="1"/>
      <c r="CA946" s="1"/>
      <c r="CB946" s="1"/>
      <c r="CC946" s="1"/>
      <c r="CD946" s="3"/>
      <c r="CE946" s="3"/>
      <c r="CF946" s="1"/>
      <c r="CG946" s="1"/>
      <c r="CH946" s="3"/>
      <c r="CI946" s="3"/>
    </row>
    <row r="947" spans="16:87">
      <c r="P947" s="1"/>
      <c r="Q947" s="2"/>
      <c r="R947" s="2"/>
      <c r="S947" s="2"/>
      <c r="T947" s="2"/>
      <c r="U947" s="2"/>
      <c r="V947" s="1"/>
      <c r="W947" s="1"/>
      <c r="X947" s="1"/>
      <c r="Y947" s="1"/>
      <c r="Z947" s="1"/>
      <c r="AA947" s="1"/>
      <c r="AB947" s="1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1"/>
      <c r="BY947" s="1"/>
      <c r="BZ947" s="1"/>
      <c r="CA947" s="1"/>
      <c r="CB947" s="1"/>
      <c r="CC947" s="1"/>
      <c r="CD947" s="3"/>
      <c r="CE947" s="3"/>
      <c r="CF947" s="1"/>
      <c r="CG947" s="1"/>
      <c r="CH947" s="3"/>
      <c r="CI947" s="3"/>
    </row>
    <row r="948" spans="16:87">
      <c r="P948" s="1"/>
      <c r="Q948" s="2"/>
      <c r="R948" s="2"/>
      <c r="S948" s="2"/>
      <c r="T948" s="2"/>
      <c r="U948" s="2"/>
      <c r="V948" s="1"/>
      <c r="W948" s="1"/>
      <c r="X948" s="1"/>
      <c r="Y948" s="1"/>
      <c r="Z948" s="1"/>
      <c r="AA948" s="1"/>
      <c r="AB948" s="1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1"/>
      <c r="BY948" s="1"/>
      <c r="BZ948" s="1"/>
      <c r="CA948" s="1"/>
      <c r="CB948" s="1"/>
      <c r="CC948" s="1"/>
      <c r="CD948" s="3"/>
      <c r="CE948" s="3"/>
      <c r="CF948" s="1"/>
      <c r="CG948" s="1"/>
      <c r="CH948" s="3"/>
      <c r="CI948" s="3"/>
    </row>
    <row r="949" spans="16:87">
      <c r="P949" s="1"/>
      <c r="Q949" s="2"/>
      <c r="R949" s="2"/>
      <c r="S949" s="2"/>
      <c r="T949" s="2"/>
      <c r="U949" s="2"/>
      <c r="V949" s="1"/>
      <c r="W949" s="1"/>
      <c r="X949" s="1"/>
      <c r="Y949" s="1"/>
      <c r="Z949" s="1"/>
      <c r="AA949" s="1"/>
      <c r="AB949" s="1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1"/>
      <c r="BY949" s="1"/>
      <c r="BZ949" s="1"/>
      <c r="CA949" s="1"/>
      <c r="CB949" s="1"/>
      <c r="CC949" s="1"/>
      <c r="CD949" s="3"/>
      <c r="CE949" s="3"/>
      <c r="CF949" s="1"/>
      <c r="CG949" s="1"/>
      <c r="CH949" s="3"/>
      <c r="CI949" s="3"/>
    </row>
    <row r="950" spans="16:87">
      <c r="P950" s="1"/>
      <c r="Q950" s="2"/>
      <c r="R950" s="2"/>
      <c r="S950" s="2"/>
      <c r="T950" s="2"/>
      <c r="U950" s="2"/>
      <c r="V950" s="1"/>
      <c r="W950" s="1"/>
      <c r="X950" s="1"/>
      <c r="Y950" s="1"/>
      <c r="Z950" s="1"/>
      <c r="AA950" s="1"/>
      <c r="AB950" s="1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1"/>
      <c r="BY950" s="1"/>
      <c r="BZ950" s="1"/>
      <c r="CA950" s="1"/>
      <c r="CB950" s="1"/>
      <c r="CC950" s="1"/>
      <c r="CD950" s="3"/>
      <c r="CE950" s="3"/>
      <c r="CF950" s="1"/>
      <c r="CG950" s="1"/>
      <c r="CH950" s="3"/>
      <c r="CI950" s="3"/>
    </row>
    <row r="951" spans="16:87">
      <c r="P951" s="1"/>
      <c r="Q951" s="2"/>
      <c r="R951" s="2"/>
      <c r="S951" s="2"/>
      <c r="T951" s="2"/>
      <c r="U951" s="2"/>
      <c r="V951" s="1"/>
      <c r="W951" s="1"/>
      <c r="X951" s="1"/>
      <c r="Y951" s="1"/>
      <c r="Z951" s="1"/>
      <c r="AA951" s="1"/>
      <c r="AB951" s="1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1"/>
      <c r="BY951" s="1"/>
      <c r="BZ951" s="1"/>
      <c r="CA951" s="1"/>
      <c r="CB951" s="1"/>
      <c r="CC951" s="1"/>
      <c r="CD951" s="3"/>
      <c r="CE951" s="3"/>
      <c r="CF951" s="1"/>
      <c r="CG951" s="1"/>
      <c r="CH951" s="3"/>
      <c r="CI951" s="3"/>
    </row>
    <row r="952" spans="16:87">
      <c r="P952" s="1"/>
      <c r="Q952" s="2"/>
      <c r="R952" s="2"/>
      <c r="S952" s="2"/>
      <c r="T952" s="2"/>
      <c r="U952" s="2"/>
      <c r="V952" s="1"/>
      <c r="W952" s="1"/>
      <c r="X952" s="1"/>
      <c r="Y952" s="1"/>
      <c r="Z952" s="1"/>
      <c r="AA952" s="1"/>
      <c r="AB952" s="1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1"/>
      <c r="BY952" s="1"/>
      <c r="BZ952" s="1"/>
      <c r="CA952" s="1"/>
      <c r="CB952" s="1"/>
      <c r="CC952" s="1"/>
      <c r="CD952" s="3"/>
      <c r="CE952" s="3"/>
      <c r="CF952" s="1"/>
      <c r="CG952" s="1"/>
      <c r="CH952" s="3"/>
      <c r="CI952" s="3"/>
    </row>
    <row r="953" spans="16:87">
      <c r="P953" s="1"/>
      <c r="Q953" s="2"/>
      <c r="R953" s="2"/>
      <c r="S953" s="2"/>
      <c r="T953" s="2"/>
      <c r="U953" s="2"/>
      <c r="V953" s="1"/>
      <c r="W953" s="1"/>
      <c r="X953" s="1"/>
      <c r="Y953" s="1"/>
      <c r="Z953" s="1"/>
      <c r="AA953" s="1"/>
      <c r="AB953" s="1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1"/>
      <c r="BY953" s="1"/>
      <c r="BZ953" s="1"/>
      <c r="CA953" s="1"/>
      <c r="CB953" s="1"/>
      <c r="CC953" s="1"/>
      <c r="CD953" s="3"/>
      <c r="CE953" s="3"/>
      <c r="CF953" s="1"/>
      <c r="CG953" s="1"/>
      <c r="CH953" s="3"/>
      <c r="CI953" s="3"/>
    </row>
    <row r="954" spans="16:87">
      <c r="P954" s="1"/>
      <c r="Q954" s="2"/>
      <c r="R954" s="2"/>
      <c r="S954" s="2"/>
      <c r="T954" s="2"/>
      <c r="U954" s="2"/>
      <c r="V954" s="1"/>
      <c r="W954" s="1"/>
      <c r="X954" s="1"/>
      <c r="Y954" s="1"/>
      <c r="Z954" s="1"/>
      <c r="AA954" s="1"/>
      <c r="AB954" s="1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1"/>
      <c r="BY954" s="1"/>
      <c r="BZ954" s="1"/>
      <c r="CA954" s="1"/>
      <c r="CB954" s="1"/>
      <c r="CC954" s="1"/>
      <c r="CD954" s="3"/>
      <c r="CE954" s="3"/>
      <c r="CF954" s="1"/>
      <c r="CG954" s="1"/>
      <c r="CH954" s="3"/>
      <c r="CI954" s="3"/>
    </row>
    <row r="955" spans="16:87">
      <c r="P955" s="1"/>
      <c r="Q955" s="2"/>
      <c r="R955" s="2"/>
      <c r="S955" s="2"/>
      <c r="T955" s="2"/>
      <c r="U955" s="2"/>
      <c r="V955" s="1"/>
      <c r="W955" s="1"/>
      <c r="X955" s="1"/>
      <c r="Y955" s="1"/>
      <c r="Z955" s="1"/>
      <c r="AA955" s="1"/>
      <c r="AB955" s="1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1"/>
      <c r="BY955" s="1"/>
      <c r="BZ955" s="1"/>
      <c r="CA955" s="1"/>
      <c r="CB955" s="1"/>
      <c r="CC955" s="1"/>
      <c r="CD955" s="3"/>
      <c r="CE955" s="3"/>
      <c r="CF955" s="1"/>
      <c r="CG955" s="1"/>
      <c r="CH955" s="3"/>
      <c r="CI955" s="3"/>
    </row>
    <row r="956" spans="16:87">
      <c r="P956" s="1"/>
      <c r="Q956" s="2"/>
      <c r="R956" s="2"/>
      <c r="S956" s="2"/>
      <c r="T956" s="2"/>
      <c r="U956" s="2"/>
      <c r="V956" s="1"/>
      <c r="W956" s="1"/>
      <c r="X956" s="1"/>
      <c r="Y956" s="1"/>
      <c r="Z956" s="1"/>
      <c r="AA956" s="1"/>
      <c r="AB956" s="1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1"/>
      <c r="BY956" s="1"/>
      <c r="BZ956" s="1"/>
      <c r="CA956" s="1"/>
      <c r="CB956" s="1"/>
      <c r="CC956" s="1"/>
      <c r="CD956" s="3"/>
      <c r="CE956" s="3"/>
      <c r="CF956" s="1"/>
      <c r="CG956" s="1"/>
      <c r="CH956" s="3"/>
      <c r="CI956" s="3"/>
    </row>
    <row r="957" spans="16:87">
      <c r="P957" s="1"/>
      <c r="Q957" s="2"/>
      <c r="R957" s="2"/>
      <c r="S957" s="2"/>
      <c r="T957" s="2"/>
      <c r="U957" s="2"/>
      <c r="V957" s="1"/>
      <c r="W957" s="1"/>
      <c r="X957" s="1"/>
      <c r="Y957" s="1"/>
      <c r="Z957" s="1"/>
      <c r="AA957" s="1"/>
      <c r="AB957" s="1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1"/>
      <c r="BY957" s="1"/>
      <c r="BZ957" s="1"/>
      <c r="CA957" s="1"/>
      <c r="CB957" s="1"/>
      <c r="CC957" s="1"/>
      <c r="CD957" s="3"/>
      <c r="CE957" s="3"/>
      <c r="CF957" s="1"/>
      <c r="CG957" s="1"/>
      <c r="CH957" s="3"/>
      <c r="CI957" s="3"/>
    </row>
    <row r="958" spans="16:87">
      <c r="P958" s="1"/>
      <c r="Q958" s="2"/>
      <c r="R958" s="2"/>
      <c r="S958" s="2"/>
      <c r="T958" s="2"/>
      <c r="U958" s="2"/>
      <c r="V958" s="1"/>
      <c r="W958" s="1"/>
      <c r="X958" s="1"/>
      <c r="Y958" s="1"/>
      <c r="Z958" s="1"/>
      <c r="AA958" s="1"/>
      <c r="AB958" s="1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1"/>
      <c r="BY958" s="1"/>
      <c r="BZ958" s="1"/>
      <c r="CA958" s="1"/>
      <c r="CB958" s="1"/>
      <c r="CC958" s="1"/>
      <c r="CD958" s="3"/>
      <c r="CE958" s="3"/>
      <c r="CF958" s="1"/>
      <c r="CG958" s="1"/>
      <c r="CH958" s="3"/>
      <c r="CI958" s="3"/>
    </row>
    <row r="959" spans="16:87">
      <c r="P959" s="1"/>
      <c r="Q959" s="2"/>
      <c r="R959" s="2"/>
      <c r="S959" s="2"/>
      <c r="T959" s="2"/>
      <c r="U959" s="2"/>
      <c r="V959" s="1"/>
      <c r="W959" s="1"/>
      <c r="X959" s="1"/>
      <c r="Y959" s="1"/>
      <c r="Z959" s="1"/>
      <c r="AA959" s="1"/>
      <c r="AB959" s="1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1"/>
      <c r="BY959" s="1"/>
      <c r="BZ959" s="1"/>
      <c r="CA959" s="1"/>
      <c r="CB959" s="1"/>
      <c r="CC959" s="1"/>
      <c r="CD959" s="3"/>
      <c r="CE959" s="3"/>
      <c r="CF959" s="1"/>
      <c r="CG959" s="1"/>
      <c r="CH959" s="3"/>
      <c r="CI959" s="3"/>
    </row>
    <row r="960" spans="16:87">
      <c r="P960" s="1"/>
      <c r="Q960" s="2"/>
      <c r="R960" s="2"/>
      <c r="S960" s="2"/>
      <c r="T960" s="2"/>
      <c r="U960" s="2"/>
      <c r="V960" s="1"/>
      <c r="W960" s="1"/>
      <c r="X960" s="1"/>
      <c r="Y960" s="1"/>
      <c r="Z960" s="1"/>
      <c r="AA960" s="1"/>
      <c r="AB960" s="1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1"/>
      <c r="BY960" s="1"/>
      <c r="BZ960" s="1"/>
      <c r="CA960" s="1"/>
      <c r="CB960" s="1"/>
      <c r="CC960" s="1"/>
      <c r="CD960" s="3"/>
      <c r="CE960" s="3"/>
      <c r="CF960" s="1"/>
      <c r="CG960" s="1"/>
      <c r="CH960" s="3"/>
      <c r="CI960" s="3"/>
    </row>
    <row r="961" spans="16:87">
      <c r="P961" s="1"/>
      <c r="Q961" s="2"/>
      <c r="R961" s="2"/>
      <c r="S961" s="2"/>
      <c r="T961" s="2"/>
      <c r="U961" s="2"/>
      <c r="V961" s="1"/>
      <c r="W961" s="1"/>
      <c r="X961" s="1"/>
      <c r="Y961" s="1"/>
      <c r="Z961" s="1"/>
      <c r="AA961" s="1"/>
      <c r="AB961" s="1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1"/>
      <c r="BY961" s="1"/>
      <c r="BZ961" s="1"/>
      <c r="CA961" s="1"/>
      <c r="CB961" s="1"/>
      <c r="CC961" s="1"/>
      <c r="CD961" s="3"/>
      <c r="CE961" s="3"/>
      <c r="CF961" s="1"/>
      <c r="CG961" s="1"/>
      <c r="CH961" s="3"/>
      <c r="CI961" s="3"/>
    </row>
    <row r="962" spans="16:87">
      <c r="P962" s="1"/>
      <c r="Q962" s="2"/>
      <c r="R962" s="2"/>
      <c r="S962" s="2"/>
      <c r="T962" s="2"/>
      <c r="U962" s="2"/>
      <c r="V962" s="1"/>
      <c r="W962" s="1"/>
      <c r="X962" s="1"/>
      <c r="Y962" s="1"/>
      <c r="Z962" s="1"/>
      <c r="AA962" s="1"/>
      <c r="AB962" s="1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1"/>
      <c r="BY962" s="1"/>
      <c r="BZ962" s="1"/>
      <c r="CA962" s="1"/>
      <c r="CB962" s="1"/>
      <c r="CC962" s="1"/>
      <c r="CD962" s="3"/>
      <c r="CE962" s="3"/>
      <c r="CF962" s="1"/>
      <c r="CG962" s="1"/>
      <c r="CH962" s="3"/>
      <c r="CI962" s="3"/>
    </row>
    <row r="963" spans="16:87">
      <c r="P963" s="1"/>
      <c r="Q963" s="2"/>
      <c r="R963" s="2"/>
      <c r="S963" s="2"/>
      <c r="T963" s="2"/>
      <c r="U963" s="2"/>
      <c r="V963" s="1"/>
      <c r="W963" s="1"/>
      <c r="X963" s="1"/>
      <c r="Y963" s="1"/>
      <c r="Z963" s="1"/>
      <c r="AA963" s="1"/>
      <c r="AB963" s="1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1"/>
      <c r="BY963" s="1"/>
      <c r="BZ963" s="1"/>
      <c r="CA963" s="1"/>
      <c r="CB963" s="1"/>
      <c r="CC963" s="1"/>
      <c r="CD963" s="3"/>
      <c r="CE963" s="3"/>
      <c r="CF963" s="1"/>
      <c r="CG963" s="1"/>
      <c r="CH963" s="3"/>
      <c r="CI963" s="3"/>
    </row>
    <row r="964" spans="16:87">
      <c r="P964" s="1"/>
      <c r="Q964" s="2"/>
      <c r="R964" s="2"/>
      <c r="S964" s="2"/>
      <c r="T964" s="2"/>
      <c r="U964" s="2"/>
      <c r="V964" s="1"/>
      <c r="W964" s="1"/>
      <c r="X964" s="1"/>
      <c r="Y964" s="1"/>
      <c r="Z964" s="1"/>
      <c r="AA964" s="1"/>
      <c r="AB964" s="1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1"/>
      <c r="BY964" s="1"/>
      <c r="BZ964" s="1"/>
      <c r="CA964" s="1"/>
      <c r="CB964" s="1"/>
      <c r="CC964" s="1"/>
      <c r="CD964" s="3"/>
      <c r="CE964" s="3"/>
      <c r="CF964" s="1"/>
      <c r="CG964" s="1"/>
      <c r="CH964" s="3"/>
      <c r="CI964" s="3"/>
    </row>
    <row r="965" spans="16:87">
      <c r="P965" s="1"/>
      <c r="Q965" s="2"/>
      <c r="R965" s="2"/>
      <c r="S965" s="2"/>
      <c r="T965" s="2"/>
      <c r="U965" s="2"/>
      <c r="V965" s="1"/>
      <c r="W965" s="1"/>
      <c r="X965" s="1"/>
      <c r="Y965" s="1"/>
      <c r="Z965" s="1"/>
      <c r="AA965" s="1"/>
      <c r="AB965" s="1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1"/>
      <c r="BY965" s="1"/>
      <c r="BZ965" s="1"/>
      <c r="CA965" s="1"/>
      <c r="CB965" s="1"/>
      <c r="CC965" s="1"/>
      <c r="CD965" s="3"/>
      <c r="CE965" s="3"/>
      <c r="CF965" s="1"/>
      <c r="CG965" s="1"/>
      <c r="CH965" s="3"/>
      <c r="CI965" s="3"/>
    </row>
    <row r="966" spans="16:87">
      <c r="P966" s="1"/>
      <c r="Q966" s="2"/>
      <c r="R966" s="2"/>
      <c r="S966" s="2"/>
      <c r="T966" s="2"/>
      <c r="U966" s="2"/>
      <c r="V966" s="1"/>
      <c r="W966" s="1"/>
      <c r="X966" s="1"/>
      <c r="Y966" s="1"/>
      <c r="Z966" s="1"/>
      <c r="AA966" s="1"/>
      <c r="AB966" s="1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1"/>
      <c r="BY966" s="1"/>
      <c r="BZ966" s="1"/>
      <c r="CA966" s="1"/>
      <c r="CB966" s="1"/>
      <c r="CC966" s="1"/>
      <c r="CD966" s="3"/>
      <c r="CE966" s="3"/>
      <c r="CF966" s="1"/>
      <c r="CG966" s="1"/>
      <c r="CH966" s="3"/>
      <c r="CI966" s="3"/>
    </row>
    <row r="967" spans="16:87">
      <c r="P967" s="1"/>
      <c r="Q967" s="2"/>
      <c r="R967" s="2"/>
      <c r="S967" s="2"/>
      <c r="T967" s="2"/>
      <c r="U967" s="2"/>
      <c r="V967" s="1"/>
      <c r="W967" s="1"/>
      <c r="X967" s="1"/>
      <c r="Y967" s="1"/>
      <c r="Z967" s="1"/>
      <c r="AA967" s="1"/>
      <c r="AB967" s="1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1"/>
      <c r="BY967" s="1"/>
      <c r="BZ967" s="1"/>
      <c r="CA967" s="1"/>
      <c r="CB967" s="1"/>
      <c r="CC967" s="1"/>
      <c r="CD967" s="3"/>
      <c r="CE967" s="3"/>
      <c r="CF967" s="1"/>
      <c r="CG967" s="1"/>
      <c r="CH967" s="3"/>
      <c r="CI967" s="3"/>
    </row>
    <row r="968" spans="16:87">
      <c r="P968" s="1"/>
      <c r="Q968" s="2"/>
      <c r="R968" s="2"/>
      <c r="S968" s="2"/>
      <c r="T968" s="2"/>
      <c r="U968" s="2"/>
      <c r="V968" s="1"/>
      <c r="W968" s="1"/>
      <c r="X968" s="1"/>
      <c r="Y968" s="1"/>
      <c r="Z968" s="1"/>
      <c r="AA968" s="1"/>
      <c r="AB968" s="1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1"/>
      <c r="BY968" s="1"/>
      <c r="BZ968" s="1"/>
      <c r="CA968" s="1"/>
      <c r="CB968" s="1"/>
      <c r="CC968" s="1"/>
      <c r="CD968" s="3"/>
      <c r="CE968" s="3"/>
      <c r="CF968" s="1"/>
      <c r="CG968" s="1"/>
      <c r="CH968" s="3"/>
      <c r="CI968" s="3"/>
    </row>
    <row r="969" spans="16:87">
      <c r="P969" s="1"/>
      <c r="Q969" s="2"/>
      <c r="R969" s="2"/>
      <c r="S969" s="2"/>
      <c r="T969" s="2"/>
      <c r="U969" s="2"/>
      <c r="V969" s="1"/>
      <c r="W969" s="1"/>
      <c r="X969" s="1"/>
      <c r="Y969" s="1"/>
      <c r="Z969" s="1"/>
      <c r="AA969" s="1"/>
      <c r="AB969" s="1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1"/>
      <c r="BY969" s="1"/>
      <c r="BZ969" s="1"/>
      <c r="CA969" s="1"/>
      <c r="CB969" s="1"/>
      <c r="CC969" s="1"/>
      <c r="CD969" s="3"/>
      <c r="CE969" s="3"/>
      <c r="CF969" s="1"/>
      <c r="CG969" s="1"/>
      <c r="CH969" s="3"/>
      <c r="CI969" s="3"/>
    </row>
    <row r="970" spans="16:87">
      <c r="P970" s="1"/>
      <c r="Q970" s="2"/>
      <c r="R970" s="2"/>
      <c r="S970" s="2"/>
      <c r="T970" s="2"/>
      <c r="U970" s="2"/>
      <c r="V970" s="1"/>
      <c r="W970" s="1"/>
      <c r="X970" s="1"/>
      <c r="Y970" s="1"/>
      <c r="Z970" s="1"/>
      <c r="AA970" s="1"/>
      <c r="AB970" s="1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1"/>
      <c r="BY970" s="1"/>
      <c r="BZ970" s="1"/>
      <c r="CA970" s="1"/>
      <c r="CB970" s="1"/>
      <c r="CC970" s="1"/>
      <c r="CD970" s="3"/>
      <c r="CE970" s="3"/>
      <c r="CF970" s="1"/>
      <c r="CG970" s="1"/>
      <c r="CH970" s="3"/>
      <c r="CI970" s="3"/>
    </row>
    <row r="971" spans="16:87">
      <c r="P971" s="1"/>
      <c r="Q971" s="2"/>
      <c r="R971" s="2"/>
      <c r="S971" s="2"/>
      <c r="T971" s="2"/>
      <c r="U971" s="2"/>
      <c r="V971" s="1"/>
      <c r="W971" s="1"/>
      <c r="X971" s="1"/>
      <c r="Y971" s="1"/>
      <c r="Z971" s="1"/>
      <c r="AA971" s="1"/>
      <c r="AB971" s="1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1"/>
      <c r="BY971" s="1"/>
      <c r="BZ971" s="1"/>
      <c r="CA971" s="1"/>
      <c r="CB971" s="1"/>
      <c r="CC971" s="1"/>
      <c r="CD971" s="3"/>
      <c r="CE971" s="3"/>
      <c r="CF971" s="1"/>
      <c r="CG971" s="1"/>
      <c r="CH971" s="3"/>
      <c r="CI971" s="3"/>
    </row>
    <row r="972" spans="16:87">
      <c r="P972" s="1"/>
      <c r="Q972" s="2"/>
      <c r="R972" s="2"/>
      <c r="S972" s="2"/>
      <c r="T972" s="2"/>
      <c r="U972" s="2"/>
      <c r="V972" s="1"/>
      <c r="W972" s="1"/>
      <c r="X972" s="1"/>
      <c r="Y972" s="1"/>
      <c r="Z972" s="1"/>
      <c r="AA972" s="1"/>
      <c r="AB972" s="1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1"/>
      <c r="BY972" s="1"/>
      <c r="BZ972" s="1"/>
      <c r="CA972" s="1"/>
      <c r="CB972" s="1"/>
      <c r="CC972" s="1"/>
      <c r="CD972" s="3"/>
      <c r="CE972" s="3"/>
      <c r="CF972" s="1"/>
      <c r="CG972" s="1"/>
      <c r="CH972" s="3"/>
      <c r="CI972" s="3"/>
    </row>
    <row r="973" spans="16:87">
      <c r="P973" s="1"/>
      <c r="Q973" s="2"/>
      <c r="R973" s="2"/>
      <c r="S973" s="2"/>
      <c r="T973" s="2"/>
      <c r="U973" s="2"/>
      <c r="V973" s="1"/>
      <c r="W973" s="1"/>
      <c r="X973" s="1"/>
      <c r="Y973" s="1"/>
      <c r="Z973" s="1"/>
      <c r="AA973" s="1"/>
      <c r="AB973" s="1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1"/>
      <c r="BY973" s="1"/>
      <c r="BZ973" s="1"/>
      <c r="CA973" s="1"/>
      <c r="CB973" s="1"/>
      <c r="CC973" s="1"/>
      <c r="CD973" s="3"/>
      <c r="CE973" s="3"/>
      <c r="CF973" s="1"/>
      <c r="CG973" s="1"/>
      <c r="CH973" s="3"/>
      <c r="CI973" s="3"/>
    </row>
    <row r="974" spans="16:87">
      <c r="P974" s="1"/>
      <c r="Q974" s="2"/>
      <c r="R974" s="2"/>
      <c r="S974" s="2"/>
      <c r="T974" s="2"/>
      <c r="U974" s="2"/>
      <c r="V974" s="1"/>
      <c r="W974" s="1"/>
      <c r="X974" s="1"/>
      <c r="Y974" s="1"/>
      <c r="Z974" s="1"/>
      <c r="AA974" s="1"/>
      <c r="AB974" s="1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1"/>
      <c r="BY974" s="1"/>
      <c r="BZ974" s="1"/>
      <c r="CA974" s="1"/>
      <c r="CB974" s="1"/>
      <c r="CC974" s="1"/>
      <c r="CD974" s="3"/>
      <c r="CE974" s="3"/>
      <c r="CF974" s="1"/>
      <c r="CG974" s="1"/>
      <c r="CH974" s="3"/>
      <c r="CI974" s="3"/>
    </row>
    <row r="975" spans="16:87">
      <c r="P975" s="1"/>
      <c r="Q975" s="2"/>
      <c r="R975" s="2"/>
      <c r="S975" s="2"/>
      <c r="T975" s="2"/>
      <c r="U975" s="2"/>
      <c r="V975" s="1"/>
      <c r="W975" s="1"/>
      <c r="X975" s="1"/>
      <c r="Y975" s="1"/>
      <c r="Z975" s="1"/>
      <c r="AA975" s="1"/>
      <c r="AB975" s="1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1"/>
      <c r="BY975" s="1"/>
      <c r="BZ975" s="1"/>
      <c r="CA975" s="1"/>
      <c r="CB975" s="1"/>
      <c r="CC975" s="1"/>
      <c r="CD975" s="3"/>
      <c r="CE975" s="3"/>
      <c r="CF975" s="1"/>
      <c r="CG975" s="1"/>
      <c r="CH975" s="3"/>
      <c r="CI975" s="3"/>
    </row>
    <row r="976" spans="16:87">
      <c r="P976" s="1"/>
      <c r="Q976" s="2"/>
      <c r="R976" s="2"/>
      <c r="S976" s="2"/>
      <c r="T976" s="2"/>
      <c r="U976" s="2"/>
      <c r="V976" s="1"/>
      <c r="W976" s="1"/>
      <c r="X976" s="1"/>
      <c r="Y976" s="1"/>
      <c r="Z976" s="1"/>
      <c r="AA976" s="1"/>
      <c r="AB976" s="1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1"/>
      <c r="BY976" s="1"/>
      <c r="BZ976" s="1"/>
      <c r="CA976" s="1"/>
      <c r="CB976" s="1"/>
      <c r="CC976" s="1"/>
      <c r="CD976" s="3"/>
      <c r="CE976" s="3"/>
      <c r="CF976" s="1"/>
      <c r="CG976" s="1"/>
      <c r="CH976" s="3"/>
      <c r="CI976" s="3"/>
    </row>
    <row r="977" spans="16:87">
      <c r="P977" s="1"/>
      <c r="Q977" s="2"/>
      <c r="R977" s="2"/>
      <c r="S977" s="2"/>
      <c r="T977" s="2"/>
      <c r="U977" s="2"/>
      <c r="V977" s="1"/>
      <c r="W977" s="1"/>
      <c r="X977" s="1"/>
      <c r="Y977" s="1"/>
      <c r="Z977" s="1"/>
      <c r="AA977" s="1"/>
      <c r="AB977" s="1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1"/>
      <c r="BY977" s="1"/>
      <c r="BZ977" s="1"/>
      <c r="CA977" s="1"/>
      <c r="CB977" s="1"/>
      <c r="CC977" s="1"/>
      <c r="CD977" s="3"/>
      <c r="CE977" s="3"/>
      <c r="CF977" s="1"/>
      <c r="CG977" s="1"/>
      <c r="CH977" s="3"/>
      <c r="CI977" s="3"/>
    </row>
    <row r="978" spans="16:87">
      <c r="P978" s="1"/>
      <c r="Q978" s="2"/>
      <c r="R978" s="2"/>
      <c r="S978" s="2"/>
      <c r="T978" s="2"/>
      <c r="U978" s="2"/>
      <c r="V978" s="1"/>
      <c r="W978" s="1"/>
      <c r="X978" s="1"/>
      <c r="Y978" s="1"/>
      <c r="Z978" s="1"/>
      <c r="AA978" s="1"/>
      <c r="AB978" s="1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1"/>
      <c r="BY978" s="1"/>
      <c r="BZ978" s="1"/>
      <c r="CA978" s="1"/>
      <c r="CB978" s="1"/>
      <c r="CC978" s="1"/>
      <c r="CD978" s="3"/>
      <c r="CE978" s="3"/>
      <c r="CF978" s="1"/>
      <c r="CG978" s="1"/>
      <c r="CH978" s="3"/>
      <c r="CI978" s="3"/>
    </row>
    <row r="979" spans="16:87">
      <c r="P979" s="1"/>
      <c r="Q979" s="2"/>
      <c r="R979" s="2"/>
      <c r="S979" s="2"/>
      <c r="T979" s="2"/>
      <c r="U979" s="2"/>
      <c r="V979" s="1"/>
      <c r="W979" s="1"/>
      <c r="X979" s="1"/>
      <c r="Y979" s="1"/>
      <c r="Z979" s="1"/>
      <c r="AA979" s="1"/>
      <c r="AB979" s="1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1"/>
      <c r="BY979" s="1"/>
      <c r="BZ979" s="1"/>
      <c r="CA979" s="1"/>
      <c r="CB979" s="1"/>
      <c r="CC979" s="1"/>
      <c r="CD979" s="3"/>
      <c r="CE979" s="3"/>
      <c r="CF979" s="1"/>
      <c r="CG979" s="1"/>
      <c r="CH979" s="3"/>
      <c r="CI979" s="3"/>
    </row>
    <row r="980" spans="16:87">
      <c r="P980" s="1"/>
      <c r="Q980" s="2"/>
      <c r="R980" s="2"/>
      <c r="S980" s="2"/>
      <c r="T980" s="2"/>
      <c r="U980" s="2"/>
      <c r="V980" s="1"/>
      <c r="W980" s="1"/>
      <c r="X980" s="1"/>
      <c r="Y980" s="1"/>
      <c r="Z980" s="1"/>
      <c r="AA980" s="1"/>
      <c r="AB980" s="1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1"/>
      <c r="BY980" s="1"/>
      <c r="BZ980" s="1"/>
      <c r="CA980" s="1"/>
      <c r="CB980" s="1"/>
      <c r="CC980" s="1"/>
      <c r="CD980" s="3"/>
      <c r="CE980" s="3"/>
      <c r="CF980" s="1"/>
      <c r="CG980" s="1"/>
      <c r="CH980" s="3"/>
      <c r="CI980" s="3"/>
    </row>
    <row r="981" spans="16:87">
      <c r="P981" s="1"/>
      <c r="Q981" s="2"/>
      <c r="R981" s="2"/>
      <c r="S981" s="2"/>
      <c r="T981" s="2"/>
      <c r="U981" s="2"/>
      <c r="V981" s="1"/>
      <c r="W981" s="1"/>
      <c r="X981" s="1"/>
      <c r="Y981" s="1"/>
      <c r="Z981" s="1"/>
      <c r="AA981" s="1"/>
      <c r="AB981" s="1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1"/>
      <c r="BY981" s="1"/>
      <c r="BZ981" s="1"/>
      <c r="CA981" s="1"/>
      <c r="CB981" s="1"/>
      <c r="CC981" s="1"/>
      <c r="CD981" s="3"/>
      <c r="CE981" s="3"/>
      <c r="CF981" s="1"/>
      <c r="CG981" s="1"/>
      <c r="CH981" s="3"/>
      <c r="CI981" s="3"/>
    </row>
    <row r="982" spans="16:87">
      <c r="P982" s="1"/>
      <c r="Q982" s="2"/>
      <c r="R982" s="2"/>
      <c r="S982" s="2"/>
      <c r="T982" s="2"/>
      <c r="U982" s="2"/>
      <c r="V982" s="1"/>
      <c r="W982" s="1"/>
      <c r="X982" s="1"/>
      <c r="Y982" s="1"/>
      <c r="Z982" s="1"/>
      <c r="AA982" s="1"/>
      <c r="AB982" s="1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1"/>
      <c r="BY982" s="1"/>
      <c r="BZ982" s="1"/>
      <c r="CA982" s="1"/>
      <c r="CB982" s="1"/>
      <c r="CC982" s="1"/>
      <c r="CD982" s="3"/>
      <c r="CE982" s="3"/>
      <c r="CF982" s="1"/>
      <c r="CG982" s="1"/>
      <c r="CH982" s="3"/>
      <c r="CI982" s="3"/>
    </row>
    <row r="983" spans="16:87">
      <c r="P983" s="1"/>
      <c r="Q983" s="2"/>
      <c r="R983" s="2"/>
      <c r="S983" s="2"/>
      <c r="T983" s="2"/>
      <c r="U983" s="2"/>
      <c r="V983" s="1"/>
      <c r="W983" s="1"/>
      <c r="X983" s="1"/>
      <c r="Y983" s="1"/>
      <c r="Z983" s="1"/>
      <c r="AA983" s="1"/>
      <c r="AB983" s="1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1"/>
      <c r="BY983" s="1"/>
      <c r="BZ983" s="1"/>
      <c r="CA983" s="1"/>
      <c r="CB983" s="1"/>
      <c r="CC983" s="1"/>
      <c r="CD983" s="3"/>
      <c r="CE983" s="3"/>
      <c r="CF983" s="1"/>
      <c r="CG983" s="1"/>
      <c r="CH983" s="3"/>
      <c r="CI983" s="3"/>
    </row>
    <row r="984" spans="16:87">
      <c r="P984" s="1"/>
      <c r="Q984" s="2"/>
      <c r="R984" s="2"/>
      <c r="S984" s="2"/>
      <c r="T984" s="2"/>
      <c r="U984" s="2"/>
      <c r="V984" s="1"/>
      <c r="W984" s="1"/>
      <c r="X984" s="1"/>
      <c r="Y984" s="1"/>
      <c r="Z984" s="1"/>
      <c r="AA984" s="1"/>
      <c r="AB984" s="1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1"/>
      <c r="BY984" s="1"/>
      <c r="BZ984" s="1"/>
      <c r="CA984" s="1"/>
      <c r="CB984" s="1"/>
      <c r="CC984" s="1"/>
      <c r="CD984" s="3"/>
      <c r="CE984" s="3"/>
      <c r="CF984" s="1"/>
      <c r="CG984" s="1"/>
      <c r="CH984" s="3"/>
      <c r="CI984" s="3"/>
    </row>
    <row r="985" spans="16:87">
      <c r="P985" s="1"/>
      <c r="Q985" s="2"/>
      <c r="R985" s="2"/>
      <c r="S985" s="2"/>
      <c r="T985" s="2"/>
      <c r="U985" s="2"/>
      <c r="V985" s="1"/>
      <c r="W985" s="1"/>
      <c r="X985" s="1"/>
      <c r="Y985" s="1"/>
      <c r="Z985" s="1"/>
      <c r="AA985" s="1"/>
      <c r="AB985" s="1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1"/>
      <c r="BY985" s="1"/>
      <c r="BZ985" s="1"/>
      <c r="CA985" s="1"/>
      <c r="CB985" s="1"/>
      <c r="CC985" s="1"/>
      <c r="CD985" s="3"/>
      <c r="CE985" s="3"/>
      <c r="CF985" s="1"/>
      <c r="CG985" s="1"/>
      <c r="CH985" s="3"/>
      <c r="CI985" s="3"/>
    </row>
    <row r="986" spans="16:87">
      <c r="P986" s="1"/>
      <c r="Q986" s="2"/>
      <c r="R986" s="2"/>
      <c r="S986" s="2"/>
      <c r="T986" s="2"/>
      <c r="U986" s="2"/>
      <c r="V986" s="1"/>
      <c r="W986" s="1"/>
      <c r="X986" s="1"/>
      <c r="Y986" s="1"/>
      <c r="Z986" s="1"/>
      <c r="AA986" s="1"/>
      <c r="AB986" s="1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1"/>
      <c r="BY986" s="1"/>
      <c r="BZ986" s="1"/>
      <c r="CA986" s="1"/>
      <c r="CB986" s="1"/>
      <c r="CC986" s="1"/>
      <c r="CD986" s="3"/>
      <c r="CE986" s="3"/>
      <c r="CF986" s="1"/>
      <c r="CG986" s="1"/>
      <c r="CH986" s="3"/>
      <c r="CI986" s="3"/>
    </row>
    <row r="987" spans="16:87">
      <c r="P987" s="1"/>
      <c r="Q987" s="2"/>
      <c r="R987" s="2"/>
      <c r="S987" s="2"/>
      <c r="T987" s="2"/>
      <c r="U987" s="2"/>
      <c r="V987" s="1"/>
      <c r="W987" s="1"/>
      <c r="X987" s="1"/>
      <c r="Y987" s="1"/>
      <c r="Z987" s="1"/>
      <c r="AA987" s="1"/>
      <c r="AB987" s="1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1"/>
      <c r="BY987" s="1"/>
      <c r="BZ987" s="1"/>
      <c r="CA987" s="1"/>
      <c r="CB987" s="1"/>
      <c r="CC987" s="1"/>
      <c r="CD987" s="3"/>
      <c r="CE987" s="3"/>
      <c r="CF987" s="1"/>
      <c r="CG987" s="1"/>
      <c r="CH987" s="3"/>
      <c r="CI987" s="3"/>
    </row>
    <row r="988" spans="16:87">
      <c r="P988" s="1"/>
      <c r="Q988" s="2"/>
      <c r="R988" s="2"/>
      <c r="S988" s="2"/>
      <c r="T988" s="2"/>
      <c r="U988" s="2"/>
      <c r="V988" s="1"/>
      <c r="W988" s="1"/>
      <c r="X988" s="1"/>
      <c r="Y988" s="1"/>
      <c r="Z988" s="1"/>
      <c r="AA988" s="1"/>
      <c r="AB988" s="1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1"/>
      <c r="BY988" s="1"/>
      <c r="BZ988" s="1"/>
      <c r="CA988" s="1"/>
      <c r="CB988" s="1"/>
      <c r="CC988" s="1"/>
      <c r="CD988" s="3"/>
      <c r="CE988" s="3"/>
      <c r="CF988" s="1"/>
      <c r="CG988" s="1"/>
      <c r="CH988" s="3"/>
      <c r="CI988" s="3"/>
    </row>
    <row r="989" spans="16:87">
      <c r="P989" s="1"/>
      <c r="Q989" s="2"/>
      <c r="R989" s="2"/>
      <c r="S989" s="2"/>
      <c r="T989" s="2"/>
      <c r="U989" s="2"/>
      <c r="V989" s="1"/>
      <c r="W989" s="1"/>
      <c r="X989" s="1"/>
      <c r="Y989" s="1"/>
      <c r="Z989" s="1"/>
      <c r="AA989" s="1"/>
      <c r="AB989" s="1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1"/>
      <c r="BY989" s="1"/>
      <c r="BZ989" s="1"/>
      <c r="CA989" s="1"/>
      <c r="CB989" s="1"/>
      <c r="CC989" s="1"/>
      <c r="CD989" s="3"/>
      <c r="CE989" s="3"/>
      <c r="CF989" s="1"/>
      <c r="CG989" s="1"/>
      <c r="CH989" s="3"/>
      <c r="CI989" s="3"/>
    </row>
    <row r="990" spans="16:87">
      <c r="P990" s="1"/>
      <c r="Q990" s="2"/>
      <c r="R990" s="2"/>
      <c r="S990" s="2"/>
      <c r="T990" s="2"/>
      <c r="U990" s="2"/>
      <c r="V990" s="1"/>
      <c r="W990" s="1"/>
      <c r="X990" s="1"/>
      <c r="Y990" s="1"/>
      <c r="Z990" s="1"/>
      <c r="AA990" s="1"/>
      <c r="AB990" s="1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1"/>
      <c r="BY990" s="1"/>
      <c r="BZ990" s="1"/>
      <c r="CA990" s="1"/>
      <c r="CB990" s="1"/>
      <c r="CC990" s="1"/>
      <c r="CD990" s="3"/>
      <c r="CE990" s="3"/>
      <c r="CF990" s="1"/>
      <c r="CG990" s="1"/>
      <c r="CH990" s="3"/>
      <c r="CI990" s="3"/>
    </row>
    <row r="991" spans="16:87">
      <c r="P991" s="1"/>
      <c r="Q991" s="2"/>
      <c r="R991" s="2"/>
      <c r="S991" s="2"/>
      <c r="T991" s="2"/>
      <c r="U991" s="2"/>
      <c r="V991" s="1"/>
      <c r="W991" s="1"/>
      <c r="X991" s="1"/>
      <c r="Y991" s="1"/>
      <c r="Z991" s="1"/>
      <c r="AA991" s="1"/>
      <c r="AB991" s="1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1"/>
      <c r="BY991" s="1"/>
      <c r="BZ991" s="1"/>
      <c r="CA991" s="1"/>
      <c r="CB991" s="1"/>
      <c r="CC991" s="1"/>
      <c r="CD991" s="3"/>
      <c r="CE991" s="3"/>
      <c r="CF991" s="1"/>
      <c r="CG991" s="1"/>
      <c r="CH991" s="3"/>
      <c r="CI991" s="3"/>
    </row>
    <row r="992" spans="16:87">
      <c r="P992" s="1"/>
      <c r="Q992" s="2"/>
      <c r="R992" s="2"/>
      <c r="S992" s="2"/>
      <c r="T992" s="2"/>
      <c r="U992" s="2"/>
      <c r="V992" s="1"/>
      <c r="W992" s="1"/>
      <c r="X992" s="1"/>
      <c r="Y992" s="1"/>
      <c r="Z992" s="1"/>
      <c r="AA992" s="1"/>
      <c r="AB992" s="1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1"/>
      <c r="BY992" s="1"/>
      <c r="BZ992" s="1"/>
      <c r="CA992" s="1"/>
      <c r="CB992" s="1"/>
      <c r="CC992" s="1"/>
      <c r="CD992" s="3"/>
      <c r="CE992" s="3"/>
      <c r="CF992" s="1"/>
      <c r="CG992" s="1"/>
      <c r="CH992" s="3"/>
      <c r="CI992" s="3"/>
    </row>
    <row r="993" spans="16:87">
      <c r="P993" s="1"/>
      <c r="Q993" s="2"/>
      <c r="R993" s="2"/>
      <c r="S993" s="2"/>
      <c r="T993" s="2"/>
      <c r="U993" s="2"/>
      <c r="V993" s="1"/>
      <c r="W993" s="1"/>
      <c r="X993" s="1"/>
      <c r="Y993" s="1"/>
      <c r="Z993" s="1"/>
      <c r="AA993" s="1"/>
      <c r="AB993" s="1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1"/>
      <c r="BY993" s="1"/>
      <c r="BZ993" s="1"/>
      <c r="CA993" s="1"/>
      <c r="CB993" s="1"/>
      <c r="CC993" s="1"/>
      <c r="CD993" s="3"/>
      <c r="CE993" s="3"/>
      <c r="CF993" s="1"/>
      <c r="CG993" s="1"/>
      <c r="CH993" s="3"/>
      <c r="CI993" s="3"/>
    </row>
    <row r="994" spans="16:87">
      <c r="P994" s="1"/>
      <c r="Q994" s="2"/>
      <c r="R994" s="2"/>
      <c r="S994" s="2"/>
      <c r="T994" s="2"/>
      <c r="U994" s="2"/>
      <c r="V994" s="1"/>
      <c r="W994" s="1"/>
      <c r="X994" s="1"/>
      <c r="Y994" s="1"/>
      <c r="Z994" s="1"/>
      <c r="AA994" s="1"/>
      <c r="AB994" s="1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1"/>
      <c r="BY994" s="1"/>
      <c r="BZ994" s="1"/>
      <c r="CA994" s="1"/>
      <c r="CB994" s="1"/>
      <c r="CC994" s="1"/>
      <c r="CD994" s="3"/>
      <c r="CE994" s="3"/>
      <c r="CF994" s="1"/>
      <c r="CG994" s="1"/>
      <c r="CH994" s="3"/>
      <c r="CI994" s="3"/>
    </row>
    <row r="995" spans="16:87">
      <c r="P995" s="1"/>
      <c r="Q995" s="2"/>
      <c r="R995" s="2"/>
      <c r="S995" s="2"/>
      <c r="T995" s="2"/>
      <c r="U995" s="2"/>
      <c r="V995" s="1"/>
      <c r="W995" s="1"/>
      <c r="X995" s="1"/>
      <c r="Y995" s="1"/>
      <c r="Z995" s="1"/>
      <c r="AA995" s="1"/>
      <c r="AB995" s="1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1"/>
      <c r="BY995" s="1"/>
      <c r="BZ995" s="1"/>
      <c r="CA995" s="1"/>
      <c r="CB995" s="1"/>
      <c r="CC995" s="1"/>
      <c r="CD995" s="3"/>
      <c r="CE995" s="3"/>
      <c r="CF995" s="1"/>
      <c r="CG995" s="1"/>
      <c r="CH995" s="3"/>
      <c r="CI995" s="3"/>
    </row>
    <row r="996" spans="16:87">
      <c r="P996" s="1"/>
      <c r="Q996" s="2"/>
      <c r="R996" s="2"/>
      <c r="S996" s="2"/>
      <c r="T996" s="2"/>
      <c r="U996" s="2"/>
      <c r="V996" s="1"/>
      <c r="W996" s="1"/>
      <c r="X996" s="1"/>
      <c r="Y996" s="1"/>
      <c r="Z996" s="1"/>
      <c r="AA996" s="1"/>
      <c r="AB996" s="1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1"/>
      <c r="BY996" s="1"/>
      <c r="BZ996" s="1"/>
      <c r="CA996" s="1"/>
      <c r="CB996" s="1"/>
      <c r="CC996" s="1"/>
      <c r="CD996" s="3"/>
      <c r="CE996" s="3"/>
      <c r="CF996" s="1"/>
      <c r="CG996" s="1"/>
      <c r="CH996" s="3"/>
      <c r="CI996" s="3"/>
    </row>
    <row r="997" spans="16:87">
      <c r="P997" s="1"/>
      <c r="Q997" s="2"/>
      <c r="R997" s="2"/>
      <c r="S997" s="2"/>
      <c r="T997" s="2"/>
      <c r="U997" s="2"/>
      <c r="V997" s="1"/>
      <c r="W997" s="1"/>
      <c r="X997" s="1"/>
      <c r="Y997" s="1"/>
      <c r="Z997" s="1"/>
      <c r="AA997" s="1"/>
      <c r="AB997" s="1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1"/>
      <c r="BY997" s="1"/>
      <c r="BZ997" s="1"/>
      <c r="CA997" s="1"/>
      <c r="CB997" s="1"/>
      <c r="CC997" s="1"/>
      <c r="CD997" s="3"/>
      <c r="CE997" s="3"/>
      <c r="CF997" s="1"/>
      <c r="CG997" s="1"/>
      <c r="CH997" s="3"/>
      <c r="CI997" s="3"/>
    </row>
    <row r="998" spans="16:87">
      <c r="P998" s="1"/>
      <c r="Q998" s="2"/>
      <c r="R998" s="2"/>
      <c r="S998" s="2"/>
      <c r="T998" s="2"/>
      <c r="U998" s="2"/>
      <c r="V998" s="1"/>
      <c r="W998" s="1"/>
      <c r="X998" s="1"/>
      <c r="Y998" s="1"/>
      <c r="Z998" s="1"/>
      <c r="AA998" s="1"/>
      <c r="AB998" s="1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1"/>
      <c r="BY998" s="1"/>
      <c r="BZ998" s="1"/>
      <c r="CA998" s="1"/>
      <c r="CB998" s="1"/>
      <c r="CC998" s="1"/>
      <c r="CD998" s="3"/>
      <c r="CE998" s="3"/>
      <c r="CF998" s="1"/>
      <c r="CG998" s="1"/>
      <c r="CH998" s="3"/>
      <c r="CI998" s="3"/>
    </row>
    <row r="999" spans="16:87">
      <c r="P999" s="1"/>
      <c r="Q999" s="2"/>
      <c r="R999" s="2"/>
      <c r="S999" s="2"/>
      <c r="T999" s="2"/>
      <c r="U999" s="2"/>
      <c r="V999" s="1"/>
      <c r="W999" s="1"/>
      <c r="X999" s="1"/>
      <c r="Y999" s="1"/>
      <c r="Z999" s="1"/>
      <c r="AA999" s="1"/>
      <c r="AB999" s="1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1"/>
      <c r="BY999" s="1"/>
      <c r="BZ999" s="1"/>
      <c r="CA999" s="1"/>
      <c r="CB999" s="1"/>
      <c r="CC999" s="1"/>
      <c r="CD999" s="3"/>
      <c r="CE999" s="3"/>
      <c r="CF999" s="1"/>
      <c r="CG999" s="1"/>
      <c r="CH999" s="3"/>
      <c r="CI999" s="3"/>
    </row>
    <row r="1000" spans="16:87">
      <c r="P1000" s="1"/>
      <c r="Q1000" s="2"/>
      <c r="R1000" s="2"/>
      <c r="S1000" s="2"/>
      <c r="T1000" s="2"/>
      <c r="U1000" s="2"/>
      <c r="V1000" s="1"/>
      <c r="W1000" s="1"/>
      <c r="X1000" s="1"/>
      <c r="Y1000" s="1"/>
      <c r="Z1000" s="1"/>
      <c r="AA1000" s="1"/>
      <c r="AB1000" s="1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1"/>
      <c r="BY1000" s="1"/>
      <c r="BZ1000" s="1"/>
      <c r="CA1000" s="1"/>
      <c r="CB1000" s="1"/>
      <c r="CC1000" s="1"/>
      <c r="CD1000" s="3"/>
      <c r="CE1000" s="3"/>
      <c r="CF1000" s="1"/>
      <c r="CG1000" s="1"/>
      <c r="CH1000" s="3"/>
      <c r="CI1000" s="3"/>
    </row>
    <row r="1001" spans="16:87">
      <c r="P1001" s="1"/>
      <c r="Q1001" s="2"/>
      <c r="R1001" s="2"/>
      <c r="S1001" s="2"/>
      <c r="T1001" s="2"/>
      <c r="U1001" s="2"/>
      <c r="V1001" s="1"/>
      <c r="W1001" s="1"/>
      <c r="X1001" s="1"/>
      <c r="Y1001" s="1"/>
      <c r="Z1001" s="1"/>
      <c r="AA1001" s="1"/>
      <c r="AB1001" s="1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1"/>
      <c r="BY1001" s="1"/>
      <c r="BZ1001" s="1"/>
      <c r="CA1001" s="1"/>
      <c r="CB1001" s="1"/>
      <c r="CC1001" s="1"/>
      <c r="CD1001" s="3"/>
      <c r="CE1001" s="3"/>
      <c r="CF1001" s="1"/>
      <c r="CG1001" s="1"/>
      <c r="CH1001" s="3"/>
      <c r="CI1001" s="3"/>
    </row>
    <row r="1002" spans="16:87">
      <c r="P1002" s="1"/>
      <c r="Q1002" s="2"/>
      <c r="R1002" s="2"/>
      <c r="S1002" s="2"/>
      <c r="T1002" s="2"/>
      <c r="U1002" s="2"/>
      <c r="V1002" s="1"/>
      <c r="W1002" s="1"/>
      <c r="X1002" s="1"/>
      <c r="Y1002" s="1"/>
      <c r="Z1002" s="1"/>
      <c r="AA1002" s="1"/>
      <c r="AB1002" s="1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1"/>
      <c r="BY1002" s="1"/>
      <c r="BZ1002" s="1"/>
      <c r="CA1002" s="1"/>
      <c r="CB1002" s="1"/>
      <c r="CC1002" s="1"/>
      <c r="CD1002" s="3"/>
      <c r="CE1002" s="3"/>
      <c r="CF1002" s="1"/>
      <c r="CG1002" s="1"/>
      <c r="CH1002" s="3"/>
      <c r="CI1002" s="3"/>
    </row>
    <row r="1003" spans="16:87">
      <c r="P1003" s="1"/>
      <c r="Q1003" s="2"/>
      <c r="R1003" s="2"/>
      <c r="S1003" s="2"/>
      <c r="T1003" s="2"/>
      <c r="U1003" s="2"/>
      <c r="V1003" s="1"/>
      <c r="W1003" s="1"/>
      <c r="X1003" s="1"/>
      <c r="Y1003" s="1"/>
      <c r="Z1003" s="1"/>
      <c r="AA1003" s="1"/>
      <c r="AB1003" s="1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1"/>
      <c r="BY1003" s="1"/>
      <c r="BZ1003" s="1"/>
      <c r="CA1003" s="1"/>
      <c r="CB1003" s="1"/>
      <c r="CC1003" s="1"/>
      <c r="CD1003" s="3"/>
      <c r="CE1003" s="3"/>
      <c r="CF1003" s="1"/>
      <c r="CG1003" s="1"/>
      <c r="CH1003" s="3"/>
      <c r="CI1003" s="3"/>
    </row>
    <row r="1004" spans="16:87">
      <c r="P1004" s="1"/>
      <c r="Q1004" s="2"/>
      <c r="R1004" s="2"/>
      <c r="S1004" s="2"/>
      <c r="T1004" s="2"/>
      <c r="U1004" s="2"/>
      <c r="V1004" s="1"/>
      <c r="W1004" s="1"/>
      <c r="X1004" s="1"/>
      <c r="Y1004" s="1"/>
      <c r="Z1004" s="1"/>
      <c r="AA1004" s="1"/>
      <c r="AB1004" s="1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1"/>
      <c r="BY1004" s="1"/>
      <c r="BZ1004" s="1"/>
      <c r="CA1004" s="1"/>
      <c r="CB1004" s="1"/>
      <c r="CC1004" s="1"/>
      <c r="CD1004" s="3"/>
      <c r="CE1004" s="3"/>
      <c r="CF1004" s="1"/>
      <c r="CG1004" s="1"/>
      <c r="CH1004" s="3"/>
      <c r="CI1004" s="3"/>
    </row>
    <row r="1005" spans="16:87">
      <c r="P1005" s="1"/>
      <c r="Q1005" s="2"/>
      <c r="R1005" s="2"/>
      <c r="S1005" s="2"/>
      <c r="T1005" s="2"/>
      <c r="U1005" s="2"/>
      <c r="V1005" s="1"/>
      <c r="W1005" s="1"/>
      <c r="X1005" s="1"/>
      <c r="Y1005" s="1"/>
      <c r="Z1005" s="1"/>
      <c r="AA1005" s="1"/>
      <c r="AB1005" s="1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1"/>
      <c r="BY1005" s="1"/>
      <c r="BZ1005" s="1"/>
      <c r="CA1005" s="1"/>
      <c r="CB1005" s="1"/>
      <c r="CC1005" s="1"/>
      <c r="CD1005" s="3"/>
      <c r="CE1005" s="3"/>
      <c r="CF1005" s="1"/>
      <c r="CG1005" s="1"/>
      <c r="CH1005" s="3"/>
      <c r="CI1005" s="3"/>
    </row>
    <row r="1006" spans="16:87">
      <c r="P1006" s="1"/>
      <c r="Q1006" s="2"/>
      <c r="R1006" s="2"/>
      <c r="S1006" s="2"/>
      <c r="T1006" s="2"/>
      <c r="U1006" s="2"/>
      <c r="V1006" s="1"/>
      <c r="W1006" s="1"/>
      <c r="X1006" s="1"/>
      <c r="Y1006" s="1"/>
      <c r="Z1006" s="1"/>
      <c r="AA1006" s="1"/>
      <c r="AB1006" s="1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1"/>
      <c r="BY1006" s="1"/>
      <c r="BZ1006" s="1"/>
      <c r="CA1006" s="1"/>
      <c r="CB1006" s="1"/>
      <c r="CC1006" s="1"/>
      <c r="CD1006" s="3"/>
      <c r="CE1006" s="3"/>
      <c r="CF1006" s="1"/>
      <c r="CG1006" s="1"/>
      <c r="CH1006" s="3"/>
      <c r="CI1006" s="3"/>
    </row>
    <row r="1007" spans="16:87">
      <c r="P1007" s="1"/>
      <c r="Q1007" s="2"/>
      <c r="R1007" s="2"/>
      <c r="S1007" s="2"/>
      <c r="T1007" s="2"/>
      <c r="U1007" s="2"/>
      <c r="V1007" s="1"/>
      <c r="W1007" s="1"/>
      <c r="X1007" s="1"/>
      <c r="Y1007" s="1"/>
      <c r="Z1007" s="1"/>
      <c r="AA1007" s="1"/>
      <c r="AB1007" s="1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1"/>
      <c r="BY1007" s="1"/>
      <c r="BZ1007" s="1"/>
      <c r="CA1007" s="1"/>
      <c r="CB1007" s="1"/>
      <c r="CC1007" s="1"/>
      <c r="CD1007" s="3"/>
      <c r="CE1007" s="3"/>
      <c r="CF1007" s="1"/>
      <c r="CG1007" s="1"/>
      <c r="CH1007" s="3"/>
      <c r="CI1007" s="3"/>
    </row>
    <row r="1008" spans="16:87">
      <c r="P1008" s="1"/>
      <c r="Q1008" s="2"/>
      <c r="R1008" s="2"/>
      <c r="S1008" s="2"/>
      <c r="T1008" s="2"/>
      <c r="U1008" s="2"/>
      <c r="V1008" s="1"/>
      <c r="W1008" s="1"/>
      <c r="X1008" s="1"/>
      <c r="Y1008" s="1"/>
      <c r="Z1008" s="1"/>
      <c r="AA1008" s="1"/>
      <c r="AB1008" s="1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1"/>
      <c r="BY1008" s="1"/>
      <c r="BZ1008" s="1"/>
      <c r="CA1008" s="1"/>
      <c r="CB1008" s="1"/>
      <c r="CC1008" s="1"/>
      <c r="CD1008" s="3"/>
      <c r="CE1008" s="3"/>
      <c r="CF1008" s="1"/>
      <c r="CG1008" s="1"/>
      <c r="CH1008" s="3"/>
      <c r="CI1008" s="3"/>
    </row>
    <row r="1009" spans="16:87">
      <c r="P1009" s="1"/>
      <c r="Q1009" s="2"/>
      <c r="R1009" s="2"/>
      <c r="S1009" s="2"/>
      <c r="T1009" s="2"/>
      <c r="U1009" s="2"/>
      <c r="V1009" s="1"/>
      <c r="W1009" s="1"/>
      <c r="X1009" s="1"/>
      <c r="Y1009" s="1"/>
      <c r="Z1009" s="1"/>
      <c r="AA1009" s="1"/>
      <c r="AB1009" s="1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1"/>
      <c r="BY1009" s="1"/>
      <c r="BZ1009" s="1"/>
      <c r="CA1009" s="1"/>
      <c r="CB1009" s="1"/>
      <c r="CC1009" s="1"/>
      <c r="CD1009" s="3"/>
      <c r="CE1009" s="3"/>
      <c r="CF1009" s="1"/>
      <c r="CG1009" s="1"/>
      <c r="CH1009" s="3"/>
      <c r="CI1009" s="3"/>
    </row>
    <row r="1010" spans="16:87">
      <c r="P1010" s="1"/>
      <c r="Q1010" s="2"/>
      <c r="R1010" s="2"/>
      <c r="S1010" s="2"/>
      <c r="T1010" s="2"/>
      <c r="U1010" s="2"/>
      <c r="V1010" s="1"/>
      <c r="W1010" s="1"/>
      <c r="X1010" s="1"/>
      <c r="Y1010" s="1"/>
      <c r="Z1010" s="1"/>
      <c r="AA1010" s="1"/>
      <c r="AB1010" s="1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1"/>
      <c r="BY1010" s="1"/>
      <c r="BZ1010" s="1"/>
      <c r="CA1010" s="1"/>
      <c r="CB1010" s="1"/>
      <c r="CC1010" s="1"/>
      <c r="CD1010" s="3"/>
      <c r="CE1010" s="3"/>
      <c r="CF1010" s="1"/>
      <c r="CG1010" s="1"/>
      <c r="CH1010" s="3"/>
      <c r="CI1010" s="3"/>
    </row>
    <row r="1011" spans="16:87">
      <c r="P1011" s="1"/>
      <c r="Q1011" s="2"/>
      <c r="R1011" s="2"/>
      <c r="S1011" s="2"/>
      <c r="T1011" s="2"/>
      <c r="U1011" s="2"/>
      <c r="V1011" s="1"/>
      <c r="W1011" s="1"/>
      <c r="X1011" s="1"/>
      <c r="Y1011" s="1"/>
      <c r="Z1011" s="1"/>
      <c r="AA1011" s="1"/>
      <c r="AB1011" s="1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1"/>
      <c r="BY1011" s="1"/>
      <c r="BZ1011" s="1"/>
      <c r="CA1011" s="1"/>
      <c r="CB1011" s="1"/>
      <c r="CC1011" s="1"/>
      <c r="CD1011" s="3"/>
      <c r="CE1011" s="3"/>
      <c r="CF1011" s="1"/>
      <c r="CG1011" s="1"/>
      <c r="CH1011" s="3"/>
      <c r="CI1011" s="3"/>
    </row>
    <row r="1012" spans="16:87">
      <c r="P1012" s="1"/>
      <c r="Q1012" s="2"/>
      <c r="R1012" s="2"/>
      <c r="S1012" s="2"/>
      <c r="T1012" s="2"/>
      <c r="U1012" s="2"/>
      <c r="V1012" s="1"/>
      <c r="W1012" s="1"/>
      <c r="X1012" s="1"/>
      <c r="Y1012" s="1"/>
      <c r="Z1012" s="1"/>
      <c r="AA1012" s="1"/>
      <c r="AB1012" s="1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1"/>
      <c r="BY1012" s="1"/>
      <c r="BZ1012" s="1"/>
      <c r="CA1012" s="1"/>
      <c r="CB1012" s="1"/>
      <c r="CC1012" s="1"/>
      <c r="CD1012" s="3"/>
      <c r="CE1012" s="3"/>
      <c r="CF1012" s="1"/>
      <c r="CG1012" s="1"/>
      <c r="CH1012" s="3"/>
      <c r="CI1012" s="3"/>
    </row>
    <row r="1013" spans="16:87">
      <c r="P1013" s="1"/>
      <c r="Q1013" s="2"/>
      <c r="R1013" s="2"/>
      <c r="S1013" s="2"/>
      <c r="T1013" s="2"/>
      <c r="U1013" s="2"/>
      <c r="V1013" s="1"/>
      <c r="W1013" s="1"/>
      <c r="X1013" s="1"/>
      <c r="Y1013" s="1"/>
      <c r="Z1013" s="1"/>
      <c r="AA1013" s="1"/>
      <c r="AB1013" s="1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1"/>
      <c r="BY1013" s="1"/>
      <c r="BZ1013" s="1"/>
      <c r="CA1013" s="1"/>
      <c r="CB1013" s="1"/>
      <c r="CC1013" s="1"/>
      <c r="CD1013" s="3"/>
      <c r="CE1013" s="3"/>
      <c r="CF1013" s="1"/>
      <c r="CG1013" s="1"/>
      <c r="CH1013" s="3"/>
      <c r="CI1013" s="3"/>
    </row>
    <row r="1014" spans="16:87">
      <c r="P1014" s="1"/>
      <c r="Q1014" s="2"/>
      <c r="R1014" s="2"/>
      <c r="S1014" s="2"/>
      <c r="T1014" s="2"/>
      <c r="U1014" s="2"/>
      <c r="V1014" s="1"/>
      <c r="W1014" s="1"/>
      <c r="X1014" s="1"/>
      <c r="Y1014" s="1"/>
      <c r="Z1014" s="1"/>
      <c r="AA1014" s="1"/>
      <c r="AB1014" s="1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1"/>
      <c r="BY1014" s="1"/>
      <c r="BZ1014" s="1"/>
      <c r="CA1014" s="1"/>
      <c r="CB1014" s="1"/>
      <c r="CC1014" s="1"/>
      <c r="CD1014" s="3"/>
      <c r="CE1014" s="3"/>
      <c r="CF1014" s="1"/>
      <c r="CG1014" s="1"/>
      <c r="CH1014" s="3"/>
      <c r="CI1014" s="3"/>
    </row>
    <row r="1015" spans="16:87">
      <c r="P1015" s="1"/>
      <c r="Q1015" s="2"/>
      <c r="R1015" s="2"/>
      <c r="S1015" s="2"/>
      <c r="T1015" s="2"/>
      <c r="U1015" s="2"/>
      <c r="V1015" s="1"/>
      <c r="W1015" s="1"/>
      <c r="X1015" s="1"/>
      <c r="Y1015" s="1"/>
      <c r="Z1015" s="1"/>
      <c r="AA1015" s="1"/>
      <c r="AB1015" s="1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1"/>
      <c r="BY1015" s="1"/>
      <c r="BZ1015" s="1"/>
      <c r="CA1015" s="1"/>
      <c r="CB1015" s="1"/>
      <c r="CC1015" s="1"/>
      <c r="CD1015" s="3"/>
      <c r="CE1015" s="3"/>
      <c r="CF1015" s="1"/>
      <c r="CG1015" s="1"/>
      <c r="CH1015" s="3"/>
      <c r="CI1015" s="3"/>
    </row>
    <row r="1016" spans="16:87">
      <c r="P1016" s="1"/>
      <c r="Q1016" s="2"/>
      <c r="R1016" s="2"/>
      <c r="S1016" s="2"/>
      <c r="T1016" s="2"/>
      <c r="U1016" s="2"/>
      <c r="V1016" s="1"/>
      <c r="W1016" s="1"/>
      <c r="X1016" s="1"/>
      <c r="Y1016" s="1"/>
      <c r="Z1016" s="1"/>
      <c r="AA1016" s="1"/>
      <c r="AB1016" s="1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1"/>
      <c r="BY1016" s="1"/>
      <c r="BZ1016" s="1"/>
      <c r="CA1016" s="1"/>
      <c r="CB1016" s="1"/>
      <c r="CC1016" s="1"/>
      <c r="CD1016" s="3"/>
      <c r="CE1016" s="3"/>
      <c r="CF1016" s="1"/>
      <c r="CG1016" s="1"/>
      <c r="CH1016" s="3"/>
      <c r="CI1016" s="3"/>
    </row>
    <row r="1017" spans="16:87">
      <c r="P1017" s="1"/>
      <c r="Q1017" s="2"/>
      <c r="R1017" s="2"/>
      <c r="S1017" s="2"/>
      <c r="T1017" s="2"/>
      <c r="U1017" s="2"/>
      <c r="V1017" s="1"/>
      <c r="W1017" s="1"/>
      <c r="X1017" s="1"/>
      <c r="Y1017" s="1"/>
      <c r="Z1017" s="1"/>
      <c r="AA1017" s="1"/>
      <c r="AB1017" s="1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1"/>
      <c r="BY1017" s="1"/>
      <c r="BZ1017" s="1"/>
      <c r="CA1017" s="1"/>
      <c r="CB1017" s="1"/>
      <c r="CC1017" s="1"/>
      <c r="CD1017" s="3"/>
      <c r="CE1017" s="3"/>
      <c r="CF1017" s="1"/>
      <c r="CG1017" s="1"/>
      <c r="CH1017" s="3"/>
      <c r="CI1017" s="3"/>
    </row>
    <row r="1018" spans="16:87">
      <c r="P1018" s="1"/>
      <c r="Q1018" s="2"/>
      <c r="R1018" s="2"/>
      <c r="S1018" s="2"/>
      <c r="T1018" s="2"/>
      <c r="U1018" s="2"/>
      <c r="V1018" s="1"/>
      <c r="W1018" s="1"/>
      <c r="X1018" s="1"/>
      <c r="Y1018" s="1"/>
      <c r="Z1018" s="1"/>
      <c r="AA1018" s="1"/>
      <c r="AB1018" s="1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1"/>
      <c r="BY1018" s="1"/>
      <c r="BZ1018" s="1"/>
      <c r="CA1018" s="1"/>
      <c r="CB1018" s="1"/>
      <c r="CC1018" s="1"/>
      <c r="CD1018" s="3"/>
      <c r="CE1018" s="3"/>
      <c r="CF1018" s="1"/>
      <c r="CG1018" s="1"/>
      <c r="CH1018" s="3"/>
      <c r="CI1018" s="3"/>
    </row>
    <row r="1019" spans="16:87">
      <c r="P1019" s="1"/>
      <c r="Q1019" s="2"/>
      <c r="R1019" s="2"/>
      <c r="S1019" s="2"/>
      <c r="T1019" s="2"/>
      <c r="U1019" s="2"/>
      <c r="V1019" s="1"/>
      <c r="W1019" s="1"/>
      <c r="X1019" s="1"/>
      <c r="Y1019" s="1"/>
      <c r="Z1019" s="1"/>
      <c r="AA1019" s="1"/>
      <c r="AB1019" s="1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1"/>
      <c r="BY1019" s="1"/>
      <c r="BZ1019" s="1"/>
      <c r="CA1019" s="1"/>
      <c r="CB1019" s="1"/>
      <c r="CC1019" s="1"/>
      <c r="CD1019" s="3"/>
      <c r="CE1019" s="3"/>
      <c r="CF1019" s="1"/>
      <c r="CG1019" s="1"/>
      <c r="CH1019" s="3"/>
      <c r="CI1019" s="3"/>
    </row>
    <row r="1020" spans="16:87">
      <c r="P1020" s="1"/>
      <c r="Q1020" s="2"/>
      <c r="R1020" s="2"/>
      <c r="S1020" s="2"/>
      <c r="T1020" s="2"/>
      <c r="U1020" s="2"/>
      <c r="V1020" s="1"/>
      <c r="W1020" s="1"/>
      <c r="X1020" s="1"/>
      <c r="Y1020" s="1"/>
      <c r="Z1020" s="1"/>
      <c r="AA1020" s="1"/>
      <c r="AB1020" s="1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1"/>
      <c r="BY1020" s="1"/>
      <c r="BZ1020" s="1"/>
      <c r="CA1020" s="1"/>
      <c r="CB1020" s="1"/>
      <c r="CC1020" s="1"/>
      <c r="CD1020" s="3"/>
      <c r="CE1020" s="3"/>
      <c r="CF1020" s="1"/>
      <c r="CG1020" s="1"/>
      <c r="CH1020" s="3"/>
      <c r="CI1020" s="3"/>
    </row>
    <row r="1021" spans="16:87">
      <c r="P1021" s="1"/>
      <c r="Q1021" s="2"/>
      <c r="R1021" s="2"/>
      <c r="S1021" s="2"/>
      <c r="T1021" s="2"/>
      <c r="U1021" s="2"/>
      <c r="V1021" s="1"/>
      <c r="W1021" s="1"/>
      <c r="X1021" s="1"/>
      <c r="Y1021" s="1"/>
      <c r="Z1021" s="1"/>
      <c r="AA1021" s="1"/>
      <c r="AB1021" s="1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1"/>
      <c r="BY1021" s="1"/>
      <c r="BZ1021" s="1"/>
      <c r="CA1021" s="1"/>
      <c r="CB1021" s="1"/>
      <c r="CC1021" s="1"/>
      <c r="CD1021" s="3"/>
      <c r="CE1021" s="3"/>
      <c r="CF1021" s="1"/>
      <c r="CG1021" s="1"/>
      <c r="CH1021" s="3"/>
      <c r="CI1021" s="3"/>
    </row>
    <row r="1022" spans="16:87">
      <c r="P1022" s="1"/>
      <c r="Q1022" s="2"/>
      <c r="R1022" s="2"/>
      <c r="S1022" s="2"/>
      <c r="T1022" s="2"/>
      <c r="U1022" s="2"/>
      <c r="V1022" s="1"/>
      <c r="W1022" s="1"/>
      <c r="X1022" s="1"/>
      <c r="Y1022" s="1"/>
      <c r="Z1022" s="1"/>
      <c r="AA1022" s="1"/>
      <c r="AB1022" s="1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1"/>
      <c r="BY1022" s="1"/>
      <c r="BZ1022" s="1"/>
      <c r="CA1022" s="1"/>
      <c r="CB1022" s="1"/>
      <c r="CC1022" s="1"/>
      <c r="CD1022" s="3"/>
      <c r="CE1022" s="3"/>
      <c r="CF1022" s="1"/>
      <c r="CG1022" s="1"/>
      <c r="CH1022" s="3"/>
      <c r="CI1022" s="3"/>
    </row>
    <row r="1023" spans="16:87">
      <c r="P1023" s="1"/>
      <c r="Q1023" s="2"/>
      <c r="R1023" s="2"/>
      <c r="S1023" s="2"/>
      <c r="T1023" s="2"/>
      <c r="U1023" s="2"/>
      <c r="V1023" s="1"/>
      <c r="W1023" s="1"/>
      <c r="X1023" s="1"/>
      <c r="Y1023" s="1"/>
      <c r="Z1023" s="1"/>
      <c r="AA1023" s="1"/>
      <c r="AB1023" s="1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1"/>
      <c r="BY1023" s="1"/>
      <c r="BZ1023" s="1"/>
      <c r="CA1023" s="1"/>
      <c r="CB1023" s="1"/>
      <c r="CC1023" s="1"/>
      <c r="CD1023" s="3"/>
      <c r="CE1023" s="3"/>
      <c r="CF1023" s="1"/>
      <c r="CG1023" s="1"/>
      <c r="CH1023" s="3"/>
      <c r="CI1023" s="3"/>
    </row>
    <row r="1024" spans="16:87">
      <c r="P1024" s="1"/>
      <c r="Q1024" s="2"/>
      <c r="R1024" s="2"/>
      <c r="S1024" s="2"/>
      <c r="T1024" s="2"/>
      <c r="U1024" s="2"/>
      <c r="V1024" s="1"/>
      <c r="W1024" s="1"/>
      <c r="X1024" s="1"/>
      <c r="Y1024" s="1"/>
      <c r="Z1024" s="1"/>
      <c r="AA1024" s="1"/>
      <c r="AB1024" s="1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1"/>
      <c r="BY1024" s="1"/>
      <c r="BZ1024" s="1"/>
      <c r="CA1024" s="1"/>
      <c r="CB1024" s="1"/>
      <c r="CC1024" s="1"/>
      <c r="CD1024" s="3"/>
      <c r="CE1024" s="3"/>
      <c r="CF1024" s="1"/>
      <c r="CG1024" s="1"/>
      <c r="CH1024" s="3"/>
      <c r="CI1024" s="3"/>
    </row>
    <row r="1025" spans="16:87">
      <c r="P1025" s="1"/>
      <c r="Q1025" s="2"/>
      <c r="R1025" s="2"/>
      <c r="S1025" s="2"/>
      <c r="T1025" s="2"/>
      <c r="U1025" s="2"/>
      <c r="V1025" s="1"/>
      <c r="W1025" s="1"/>
      <c r="X1025" s="1"/>
      <c r="Y1025" s="1"/>
      <c r="Z1025" s="1"/>
      <c r="AA1025" s="1"/>
      <c r="AB1025" s="1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1"/>
      <c r="BY1025" s="1"/>
      <c r="BZ1025" s="1"/>
      <c r="CA1025" s="1"/>
      <c r="CB1025" s="1"/>
      <c r="CC1025" s="1"/>
      <c r="CD1025" s="3"/>
      <c r="CE1025" s="3"/>
      <c r="CF1025" s="1"/>
      <c r="CG1025" s="1"/>
      <c r="CH1025" s="3"/>
      <c r="CI1025" s="3"/>
    </row>
    <row r="1026" spans="16:87">
      <c r="P1026" s="1"/>
      <c r="Q1026" s="2"/>
      <c r="R1026" s="2"/>
      <c r="S1026" s="2"/>
      <c r="T1026" s="2"/>
      <c r="U1026" s="2"/>
      <c r="V1026" s="1"/>
      <c r="W1026" s="1"/>
      <c r="X1026" s="1"/>
      <c r="Y1026" s="1"/>
      <c r="Z1026" s="1"/>
      <c r="AA1026" s="1"/>
      <c r="AB1026" s="1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1"/>
      <c r="BY1026" s="1"/>
      <c r="BZ1026" s="1"/>
      <c r="CA1026" s="1"/>
      <c r="CB1026" s="1"/>
      <c r="CC1026" s="1"/>
      <c r="CD1026" s="3"/>
      <c r="CE1026" s="3"/>
      <c r="CF1026" s="1"/>
      <c r="CG1026" s="1"/>
      <c r="CH1026" s="3"/>
      <c r="CI1026" s="3"/>
    </row>
    <row r="1027" spans="16:87">
      <c r="P1027" s="1"/>
      <c r="Q1027" s="2"/>
      <c r="R1027" s="2"/>
      <c r="S1027" s="2"/>
      <c r="T1027" s="2"/>
      <c r="U1027" s="2"/>
      <c r="V1027" s="1"/>
      <c r="W1027" s="1"/>
      <c r="X1027" s="1"/>
      <c r="Y1027" s="1"/>
      <c r="Z1027" s="1"/>
      <c r="AA1027" s="1"/>
      <c r="AB1027" s="1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1"/>
      <c r="BY1027" s="1"/>
      <c r="BZ1027" s="1"/>
      <c r="CA1027" s="1"/>
      <c r="CB1027" s="1"/>
      <c r="CC1027" s="1"/>
      <c r="CD1027" s="3"/>
      <c r="CE1027" s="3"/>
      <c r="CF1027" s="1"/>
      <c r="CG1027" s="1"/>
      <c r="CH1027" s="3"/>
      <c r="CI1027" s="3"/>
    </row>
    <row r="1028" spans="16:87">
      <c r="P1028" s="1"/>
      <c r="Q1028" s="2"/>
      <c r="R1028" s="2"/>
      <c r="S1028" s="2"/>
      <c r="T1028" s="2"/>
      <c r="U1028" s="2"/>
      <c r="V1028" s="1"/>
      <c r="W1028" s="1"/>
      <c r="X1028" s="1"/>
      <c r="Y1028" s="1"/>
      <c r="Z1028" s="1"/>
      <c r="AA1028" s="1"/>
      <c r="AB1028" s="1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1"/>
      <c r="BY1028" s="1"/>
      <c r="BZ1028" s="1"/>
      <c r="CA1028" s="1"/>
      <c r="CB1028" s="1"/>
      <c r="CC1028" s="1"/>
      <c r="CD1028" s="3"/>
      <c r="CE1028" s="3"/>
      <c r="CF1028" s="1"/>
      <c r="CG1028" s="1"/>
      <c r="CH1028" s="3"/>
      <c r="CI1028" s="3"/>
    </row>
    <row r="1029" spans="16:87">
      <c r="P1029" s="1"/>
      <c r="Q1029" s="2"/>
      <c r="R1029" s="2"/>
      <c r="S1029" s="2"/>
      <c r="T1029" s="2"/>
      <c r="U1029" s="2"/>
      <c r="V1029" s="1"/>
      <c r="W1029" s="1"/>
      <c r="X1029" s="1"/>
      <c r="Y1029" s="1"/>
      <c r="Z1029" s="1"/>
      <c r="AA1029" s="1"/>
      <c r="AB1029" s="1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1"/>
      <c r="BY1029" s="1"/>
      <c r="BZ1029" s="1"/>
      <c r="CA1029" s="1"/>
      <c r="CB1029" s="1"/>
      <c r="CC1029" s="1"/>
      <c r="CD1029" s="3"/>
      <c r="CE1029" s="3"/>
      <c r="CF1029" s="1"/>
      <c r="CG1029" s="1"/>
      <c r="CH1029" s="3"/>
      <c r="CI1029" s="3"/>
    </row>
    <row r="1030" spans="16:87">
      <c r="P1030" s="1"/>
      <c r="Q1030" s="2"/>
      <c r="R1030" s="2"/>
      <c r="S1030" s="2"/>
      <c r="T1030" s="2"/>
      <c r="U1030" s="2"/>
      <c r="V1030" s="1"/>
      <c r="W1030" s="1"/>
      <c r="X1030" s="1"/>
      <c r="Y1030" s="1"/>
      <c r="Z1030" s="1"/>
      <c r="AA1030" s="1"/>
      <c r="AB1030" s="1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1"/>
      <c r="BY1030" s="1"/>
      <c r="BZ1030" s="1"/>
      <c r="CA1030" s="1"/>
      <c r="CB1030" s="1"/>
      <c r="CC1030" s="1"/>
      <c r="CD1030" s="3"/>
      <c r="CE1030" s="3"/>
      <c r="CF1030" s="1"/>
      <c r="CG1030" s="1"/>
      <c r="CH1030" s="3"/>
      <c r="CI1030" s="3"/>
    </row>
    <row r="1031" spans="16:87">
      <c r="P1031" s="1"/>
      <c r="Q1031" s="2"/>
      <c r="R1031" s="2"/>
      <c r="S1031" s="2"/>
      <c r="T1031" s="2"/>
      <c r="U1031" s="2"/>
      <c r="V1031" s="1"/>
      <c r="W1031" s="1"/>
      <c r="X1031" s="1"/>
      <c r="Y1031" s="1"/>
      <c r="Z1031" s="1"/>
      <c r="AA1031" s="1"/>
      <c r="AB1031" s="1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1"/>
      <c r="BY1031" s="1"/>
      <c r="BZ1031" s="1"/>
      <c r="CA1031" s="1"/>
      <c r="CB1031" s="1"/>
      <c r="CC1031" s="1"/>
      <c r="CD1031" s="3"/>
      <c r="CE1031" s="3"/>
      <c r="CF1031" s="1"/>
      <c r="CG1031" s="1"/>
      <c r="CH1031" s="3"/>
      <c r="CI1031" s="3"/>
    </row>
    <row r="1032" spans="16:87">
      <c r="P1032" s="1"/>
      <c r="Q1032" s="2"/>
      <c r="R1032" s="2"/>
      <c r="S1032" s="2"/>
      <c r="T1032" s="2"/>
      <c r="U1032" s="2"/>
      <c r="V1032" s="1"/>
      <c r="W1032" s="1"/>
      <c r="X1032" s="1"/>
      <c r="Y1032" s="1"/>
      <c r="Z1032" s="1"/>
      <c r="AA1032" s="1"/>
      <c r="AB1032" s="1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1"/>
      <c r="BY1032" s="1"/>
      <c r="BZ1032" s="1"/>
      <c r="CA1032" s="1"/>
      <c r="CB1032" s="1"/>
      <c r="CC1032" s="1"/>
      <c r="CD1032" s="3"/>
      <c r="CE1032" s="3"/>
      <c r="CF1032" s="1"/>
      <c r="CG1032" s="1"/>
      <c r="CH1032" s="3"/>
      <c r="CI1032" s="3"/>
    </row>
    <row r="1033" spans="16:87">
      <c r="P1033" s="1"/>
      <c r="Q1033" s="2"/>
      <c r="R1033" s="2"/>
      <c r="S1033" s="2"/>
      <c r="T1033" s="2"/>
      <c r="U1033" s="2"/>
      <c r="V1033" s="1"/>
      <c r="W1033" s="1"/>
      <c r="X1033" s="1"/>
      <c r="Y1033" s="1"/>
      <c r="Z1033" s="1"/>
      <c r="AA1033" s="1"/>
      <c r="AB1033" s="1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1"/>
      <c r="BY1033" s="1"/>
      <c r="BZ1033" s="1"/>
      <c r="CA1033" s="1"/>
      <c r="CB1033" s="1"/>
      <c r="CC1033" s="1"/>
      <c r="CD1033" s="3"/>
      <c r="CE1033" s="3"/>
      <c r="CF1033" s="1"/>
      <c r="CG1033" s="1"/>
      <c r="CH1033" s="3"/>
      <c r="CI1033" s="3"/>
    </row>
    <row r="1034" spans="16:87">
      <c r="P1034" s="1"/>
      <c r="Q1034" s="2"/>
      <c r="R1034" s="2"/>
      <c r="S1034" s="2"/>
      <c r="T1034" s="2"/>
      <c r="U1034" s="2"/>
      <c r="V1034" s="1"/>
      <c r="W1034" s="1"/>
      <c r="X1034" s="1"/>
      <c r="Y1034" s="1"/>
      <c r="Z1034" s="1"/>
      <c r="AA1034" s="1"/>
      <c r="AB1034" s="1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1"/>
      <c r="BY1034" s="1"/>
      <c r="BZ1034" s="1"/>
      <c r="CA1034" s="1"/>
      <c r="CB1034" s="1"/>
      <c r="CC1034" s="1"/>
      <c r="CD1034" s="3"/>
      <c r="CE1034" s="3"/>
      <c r="CF1034" s="1"/>
      <c r="CG1034" s="1"/>
      <c r="CH1034" s="3"/>
      <c r="CI1034" s="3"/>
    </row>
    <row r="1035" spans="16:87">
      <c r="P1035" s="1"/>
      <c r="Q1035" s="2"/>
      <c r="R1035" s="2"/>
      <c r="S1035" s="2"/>
      <c r="T1035" s="2"/>
      <c r="U1035" s="2"/>
      <c r="V1035" s="1"/>
      <c r="W1035" s="1"/>
      <c r="X1035" s="1"/>
      <c r="Y1035" s="1"/>
      <c r="Z1035" s="1"/>
      <c r="AA1035" s="1"/>
      <c r="AB1035" s="1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1"/>
      <c r="BY1035" s="1"/>
      <c r="BZ1035" s="1"/>
      <c r="CA1035" s="1"/>
      <c r="CB1035" s="1"/>
      <c r="CC1035" s="1"/>
      <c r="CD1035" s="3"/>
      <c r="CE1035" s="3"/>
      <c r="CF1035" s="1"/>
      <c r="CG1035" s="1"/>
      <c r="CH1035" s="3"/>
      <c r="CI1035" s="3"/>
    </row>
    <row r="1036" spans="16:87">
      <c r="P1036" s="1"/>
      <c r="Q1036" s="2"/>
      <c r="R1036" s="2"/>
      <c r="S1036" s="2"/>
      <c r="T1036" s="2"/>
      <c r="U1036" s="2"/>
      <c r="V1036" s="1"/>
      <c r="W1036" s="1"/>
      <c r="X1036" s="1"/>
      <c r="Y1036" s="1"/>
      <c r="Z1036" s="1"/>
      <c r="AA1036" s="1"/>
      <c r="AB1036" s="1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1"/>
      <c r="BY1036" s="1"/>
      <c r="BZ1036" s="1"/>
      <c r="CA1036" s="1"/>
      <c r="CB1036" s="1"/>
      <c r="CC1036" s="1"/>
      <c r="CD1036" s="3"/>
      <c r="CE1036" s="3"/>
      <c r="CF1036" s="1"/>
      <c r="CG1036" s="1"/>
      <c r="CH1036" s="3"/>
      <c r="CI1036" s="3"/>
    </row>
    <row r="1037" spans="16:87">
      <c r="P1037" s="1"/>
      <c r="Q1037" s="2"/>
      <c r="R1037" s="2"/>
      <c r="S1037" s="2"/>
      <c r="T1037" s="2"/>
      <c r="U1037" s="2"/>
      <c r="V1037" s="1"/>
      <c r="W1037" s="1"/>
      <c r="X1037" s="1"/>
      <c r="Y1037" s="1"/>
      <c r="Z1037" s="1"/>
      <c r="AA1037" s="1"/>
      <c r="AB1037" s="1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1"/>
      <c r="BY1037" s="1"/>
      <c r="BZ1037" s="1"/>
      <c r="CA1037" s="1"/>
      <c r="CB1037" s="1"/>
      <c r="CC1037" s="1"/>
      <c r="CD1037" s="3"/>
      <c r="CE1037" s="3"/>
      <c r="CF1037" s="1"/>
      <c r="CG1037" s="1"/>
      <c r="CH1037" s="3"/>
      <c r="CI1037" s="3"/>
    </row>
    <row r="1038" spans="16:87">
      <c r="P1038" s="1"/>
      <c r="Q1038" s="2"/>
      <c r="R1038" s="2"/>
      <c r="S1038" s="2"/>
      <c r="T1038" s="2"/>
      <c r="U1038" s="2"/>
      <c r="V1038" s="1"/>
      <c r="W1038" s="1"/>
      <c r="X1038" s="1"/>
      <c r="Y1038" s="1"/>
      <c r="Z1038" s="1"/>
      <c r="AA1038" s="1"/>
      <c r="AB1038" s="1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1"/>
      <c r="BY1038" s="1"/>
      <c r="BZ1038" s="1"/>
      <c r="CA1038" s="1"/>
      <c r="CB1038" s="1"/>
      <c r="CC1038" s="1"/>
      <c r="CD1038" s="3"/>
      <c r="CE1038" s="3"/>
      <c r="CF1038" s="1"/>
      <c r="CG1038" s="1"/>
      <c r="CH1038" s="3"/>
      <c r="CI1038" s="3"/>
    </row>
    <row r="1039" spans="16:87">
      <c r="P1039" s="1"/>
      <c r="Q1039" s="2"/>
      <c r="R1039" s="2"/>
      <c r="S1039" s="2"/>
      <c r="T1039" s="2"/>
      <c r="U1039" s="2"/>
      <c r="V1039" s="1"/>
      <c r="W1039" s="1"/>
      <c r="X1039" s="1"/>
      <c r="Y1039" s="1"/>
      <c r="Z1039" s="1"/>
      <c r="AA1039" s="1"/>
      <c r="AB1039" s="1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1"/>
      <c r="BY1039" s="1"/>
      <c r="BZ1039" s="1"/>
      <c r="CA1039" s="1"/>
      <c r="CB1039" s="1"/>
      <c r="CC1039" s="1"/>
      <c r="CD1039" s="3"/>
      <c r="CE1039" s="3"/>
      <c r="CF1039" s="1"/>
      <c r="CG1039" s="1"/>
      <c r="CH1039" s="3"/>
      <c r="CI1039" s="3"/>
    </row>
    <row r="1040" spans="16:87">
      <c r="P1040" s="1"/>
      <c r="Q1040" s="2"/>
      <c r="R1040" s="2"/>
      <c r="S1040" s="2"/>
      <c r="T1040" s="2"/>
      <c r="U1040" s="2"/>
      <c r="V1040" s="1"/>
      <c r="W1040" s="1"/>
      <c r="X1040" s="1"/>
      <c r="Y1040" s="1"/>
      <c r="Z1040" s="1"/>
      <c r="AA1040" s="1"/>
      <c r="AB1040" s="1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1"/>
      <c r="BY1040" s="1"/>
      <c r="BZ1040" s="1"/>
      <c r="CA1040" s="1"/>
      <c r="CB1040" s="1"/>
      <c r="CC1040" s="1"/>
      <c r="CD1040" s="3"/>
      <c r="CE1040" s="3"/>
      <c r="CF1040" s="1"/>
      <c r="CG1040" s="1"/>
      <c r="CH1040" s="3"/>
      <c r="CI1040" s="3"/>
    </row>
    <row r="1041" spans="16:87">
      <c r="P1041" s="1"/>
      <c r="Q1041" s="2"/>
      <c r="R1041" s="2"/>
      <c r="S1041" s="2"/>
      <c r="T1041" s="2"/>
      <c r="U1041" s="2"/>
      <c r="V1041" s="1"/>
      <c r="W1041" s="1"/>
      <c r="X1041" s="1"/>
      <c r="Y1041" s="1"/>
      <c r="Z1041" s="1"/>
      <c r="AA1041" s="1"/>
      <c r="AB1041" s="1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1"/>
      <c r="BY1041" s="1"/>
      <c r="BZ1041" s="1"/>
      <c r="CA1041" s="1"/>
      <c r="CB1041" s="1"/>
      <c r="CC1041" s="1"/>
      <c r="CD1041" s="3"/>
      <c r="CE1041" s="3"/>
      <c r="CF1041" s="1"/>
      <c r="CG1041" s="1"/>
      <c r="CH1041" s="3"/>
      <c r="CI1041" s="3"/>
    </row>
    <row r="1042" spans="16:87">
      <c r="P1042" s="1"/>
      <c r="Q1042" s="2"/>
      <c r="R1042" s="2"/>
      <c r="S1042" s="2"/>
      <c r="T1042" s="2"/>
      <c r="U1042" s="2"/>
      <c r="V1042" s="1"/>
      <c r="W1042" s="1"/>
      <c r="X1042" s="1"/>
      <c r="Y1042" s="1"/>
      <c r="Z1042" s="1"/>
      <c r="AA1042" s="1"/>
      <c r="AB1042" s="1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1"/>
      <c r="BY1042" s="1"/>
      <c r="BZ1042" s="1"/>
      <c r="CA1042" s="1"/>
      <c r="CB1042" s="1"/>
      <c r="CC1042" s="1"/>
      <c r="CD1042" s="3"/>
      <c r="CE1042" s="3"/>
      <c r="CF1042" s="1"/>
      <c r="CG1042" s="1"/>
      <c r="CH1042" s="3"/>
      <c r="CI1042" s="3"/>
    </row>
    <row r="1043" spans="16:87">
      <c r="P1043" s="1"/>
      <c r="Q1043" s="2"/>
      <c r="R1043" s="2"/>
      <c r="S1043" s="2"/>
      <c r="T1043" s="2"/>
      <c r="U1043" s="2"/>
      <c r="V1043" s="1"/>
      <c r="W1043" s="1"/>
      <c r="X1043" s="1"/>
      <c r="Y1043" s="1"/>
      <c r="Z1043" s="1"/>
      <c r="AA1043" s="1"/>
      <c r="AB1043" s="1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1"/>
      <c r="BY1043" s="1"/>
      <c r="BZ1043" s="1"/>
      <c r="CA1043" s="1"/>
      <c r="CB1043" s="1"/>
      <c r="CC1043" s="1"/>
      <c r="CD1043" s="3"/>
      <c r="CE1043" s="3"/>
      <c r="CF1043" s="1"/>
      <c r="CG1043" s="1"/>
      <c r="CH1043" s="3"/>
      <c r="CI1043" s="3"/>
    </row>
    <row r="1044" spans="16:87">
      <c r="P1044" s="1"/>
      <c r="Q1044" s="2"/>
      <c r="R1044" s="2"/>
      <c r="S1044" s="2"/>
      <c r="T1044" s="2"/>
      <c r="U1044" s="2"/>
      <c r="V1044" s="1"/>
      <c r="W1044" s="1"/>
      <c r="X1044" s="1"/>
      <c r="Y1044" s="1"/>
      <c r="Z1044" s="1"/>
      <c r="AA1044" s="1"/>
      <c r="AB1044" s="1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1"/>
      <c r="BY1044" s="1"/>
      <c r="BZ1044" s="1"/>
      <c r="CA1044" s="1"/>
      <c r="CB1044" s="1"/>
      <c r="CC1044" s="1"/>
      <c r="CD1044" s="3"/>
      <c r="CE1044" s="3"/>
      <c r="CF1044" s="1"/>
      <c r="CG1044" s="1"/>
      <c r="CH1044" s="3"/>
      <c r="CI1044" s="3"/>
    </row>
    <row r="1045" spans="16:87">
      <c r="P1045" s="1"/>
      <c r="Q1045" s="2"/>
      <c r="R1045" s="2"/>
      <c r="S1045" s="2"/>
      <c r="T1045" s="2"/>
      <c r="U1045" s="2"/>
      <c r="V1045" s="1"/>
      <c r="W1045" s="1"/>
      <c r="X1045" s="1"/>
      <c r="Y1045" s="1"/>
      <c r="Z1045" s="1"/>
      <c r="AA1045" s="1"/>
      <c r="AB1045" s="1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1"/>
      <c r="BY1045" s="1"/>
      <c r="BZ1045" s="1"/>
      <c r="CA1045" s="1"/>
      <c r="CB1045" s="1"/>
      <c r="CC1045" s="1"/>
      <c r="CD1045" s="3"/>
      <c r="CE1045" s="3"/>
      <c r="CF1045" s="1"/>
      <c r="CG1045" s="1"/>
      <c r="CH1045" s="3"/>
      <c r="CI1045" s="3"/>
    </row>
    <row r="1046" spans="16:87">
      <c r="P1046" s="1"/>
      <c r="Q1046" s="2"/>
      <c r="R1046" s="2"/>
      <c r="S1046" s="2"/>
      <c r="T1046" s="2"/>
      <c r="U1046" s="2"/>
      <c r="V1046" s="1"/>
      <c r="W1046" s="1"/>
      <c r="X1046" s="1"/>
      <c r="Y1046" s="1"/>
      <c r="Z1046" s="1"/>
      <c r="AA1046" s="1"/>
      <c r="AB1046" s="1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1"/>
      <c r="BY1046" s="1"/>
      <c r="BZ1046" s="1"/>
      <c r="CA1046" s="1"/>
      <c r="CB1046" s="1"/>
      <c r="CC1046" s="1"/>
      <c r="CD1046" s="3"/>
      <c r="CE1046" s="3"/>
      <c r="CF1046" s="1"/>
      <c r="CG1046" s="1"/>
      <c r="CH1046" s="3"/>
      <c r="CI1046" s="3"/>
    </row>
    <row r="1047" spans="16:87">
      <c r="P1047" s="1"/>
      <c r="Q1047" s="2"/>
      <c r="R1047" s="2"/>
      <c r="S1047" s="2"/>
      <c r="T1047" s="2"/>
      <c r="U1047" s="2"/>
      <c r="V1047" s="1"/>
      <c r="W1047" s="1"/>
      <c r="X1047" s="1"/>
      <c r="Y1047" s="1"/>
      <c r="Z1047" s="1"/>
      <c r="AA1047" s="1"/>
      <c r="AB1047" s="1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1"/>
      <c r="BY1047" s="1"/>
      <c r="BZ1047" s="1"/>
      <c r="CA1047" s="1"/>
      <c r="CB1047" s="1"/>
      <c r="CC1047" s="1"/>
      <c r="CD1047" s="3"/>
      <c r="CE1047" s="3"/>
      <c r="CF1047" s="1"/>
      <c r="CG1047" s="1"/>
      <c r="CH1047" s="3"/>
      <c r="CI1047" s="3"/>
    </row>
    <row r="1048" spans="16:87">
      <c r="P1048" s="1"/>
      <c r="Q1048" s="2"/>
      <c r="R1048" s="2"/>
      <c r="S1048" s="2"/>
      <c r="T1048" s="2"/>
      <c r="U1048" s="2"/>
      <c r="V1048" s="1"/>
      <c r="W1048" s="1"/>
      <c r="X1048" s="1"/>
      <c r="Y1048" s="1"/>
      <c r="Z1048" s="1"/>
      <c r="AA1048" s="1"/>
      <c r="AB1048" s="1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1"/>
      <c r="BY1048" s="1"/>
      <c r="BZ1048" s="1"/>
      <c r="CA1048" s="1"/>
      <c r="CB1048" s="1"/>
      <c r="CC1048" s="1"/>
      <c r="CD1048" s="3"/>
      <c r="CE1048" s="3"/>
      <c r="CF1048" s="1"/>
      <c r="CG1048" s="1"/>
      <c r="CH1048" s="3"/>
      <c r="CI1048" s="3"/>
    </row>
    <row r="1049" spans="16:87">
      <c r="P1049" s="1"/>
      <c r="Q1049" s="2"/>
      <c r="R1049" s="2"/>
      <c r="S1049" s="2"/>
      <c r="T1049" s="2"/>
      <c r="U1049" s="2"/>
      <c r="V1049" s="1"/>
      <c r="W1049" s="1"/>
      <c r="X1049" s="1"/>
      <c r="Y1049" s="1"/>
      <c r="Z1049" s="1"/>
      <c r="AA1049" s="1"/>
      <c r="AB1049" s="1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1"/>
      <c r="BY1049" s="1"/>
      <c r="BZ1049" s="1"/>
      <c r="CA1049" s="1"/>
      <c r="CB1049" s="1"/>
      <c r="CC1049" s="1"/>
      <c r="CD1049" s="3"/>
      <c r="CE1049" s="3"/>
      <c r="CF1049" s="1"/>
      <c r="CG1049" s="1"/>
      <c r="CH1049" s="3"/>
      <c r="CI1049" s="3"/>
    </row>
    <row r="1050" spans="16:87">
      <c r="P1050" s="1"/>
      <c r="Q1050" s="2"/>
      <c r="R1050" s="2"/>
      <c r="S1050" s="2"/>
      <c r="T1050" s="2"/>
      <c r="U1050" s="2"/>
      <c r="V1050" s="1"/>
      <c r="W1050" s="1"/>
      <c r="X1050" s="1"/>
      <c r="Y1050" s="1"/>
      <c r="Z1050" s="1"/>
      <c r="AA1050" s="1"/>
      <c r="AB1050" s="1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1"/>
      <c r="BY1050" s="1"/>
      <c r="BZ1050" s="1"/>
      <c r="CA1050" s="1"/>
      <c r="CB1050" s="1"/>
      <c r="CC1050" s="1"/>
      <c r="CD1050" s="3"/>
      <c r="CE1050" s="3"/>
      <c r="CF1050" s="1"/>
      <c r="CG1050" s="1"/>
      <c r="CH1050" s="3"/>
      <c r="CI1050" s="3"/>
    </row>
    <row r="1051" spans="16:87">
      <c r="P1051" s="1"/>
      <c r="Q1051" s="2"/>
      <c r="R1051" s="2"/>
      <c r="S1051" s="2"/>
      <c r="T1051" s="2"/>
      <c r="U1051" s="2"/>
      <c r="V1051" s="1"/>
      <c r="W1051" s="1"/>
      <c r="X1051" s="1"/>
      <c r="Y1051" s="1"/>
      <c r="Z1051" s="1"/>
      <c r="AA1051" s="1"/>
      <c r="AB1051" s="1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1"/>
      <c r="BY1051" s="1"/>
      <c r="BZ1051" s="1"/>
      <c r="CA1051" s="1"/>
      <c r="CB1051" s="1"/>
      <c r="CC1051" s="1"/>
      <c r="CD1051" s="3"/>
      <c r="CE1051" s="3"/>
      <c r="CF1051" s="1"/>
      <c r="CG1051" s="1"/>
      <c r="CH1051" s="3"/>
      <c r="CI1051" s="3"/>
    </row>
    <row r="1052" spans="16:87">
      <c r="P1052" s="1"/>
      <c r="Q1052" s="2"/>
      <c r="R1052" s="2"/>
      <c r="S1052" s="2"/>
      <c r="T1052" s="2"/>
      <c r="U1052" s="2"/>
      <c r="V1052" s="1"/>
      <c r="W1052" s="1"/>
      <c r="X1052" s="1"/>
      <c r="Y1052" s="1"/>
      <c r="Z1052" s="1"/>
      <c r="AA1052" s="1"/>
      <c r="AB1052" s="1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1"/>
      <c r="BY1052" s="1"/>
      <c r="BZ1052" s="1"/>
      <c r="CA1052" s="1"/>
      <c r="CB1052" s="1"/>
      <c r="CC1052" s="1"/>
      <c r="CD1052" s="3"/>
      <c r="CE1052" s="3"/>
      <c r="CF1052" s="1"/>
      <c r="CG1052" s="1"/>
      <c r="CH1052" s="3"/>
      <c r="CI1052" s="3"/>
    </row>
    <row r="1053" spans="16:87">
      <c r="P1053" s="1"/>
      <c r="Q1053" s="2"/>
      <c r="R1053" s="2"/>
      <c r="S1053" s="2"/>
      <c r="T1053" s="2"/>
      <c r="U1053" s="2"/>
      <c r="V1053" s="1"/>
      <c r="W1053" s="1"/>
      <c r="X1053" s="1"/>
      <c r="Y1053" s="1"/>
      <c r="Z1053" s="1"/>
      <c r="AA1053" s="1"/>
      <c r="AB1053" s="1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1"/>
      <c r="BY1053" s="1"/>
      <c r="BZ1053" s="1"/>
      <c r="CA1053" s="1"/>
      <c r="CB1053" s="1"/>
      <c r="CC1053" s="1"/>
      <c r="CD1053" s="3"/>
      <c r="CE1053" s="3"/>
      <c r="CF1053" s="1"/>
      <c r="CG1053" s="1"/>
      <c r="CH1053" s="3"/>
      <c r="CI1053" s="3"/>
    </row>
    <row r="1054" spans="16:87">
      <c r="P1054" s="1"/>
      <c r="Q1054" s="2"/>
      <c r="R1054" s="2"/>
      <c r="S1054" s="2"/>
      <c r="T1054" s="2"/>
      <c r="U1054" s="2"/>
      <c r="V1054" s="1"/>
      <c r="W1054" s="1"/>
      <c r="X1054" s="1"/>
      <c r="Y1054" s="1"/>
      <c r="Z1054" s="1"/>
      <c r="AA1054" s="1"/>
      <c r="AB1054" s="1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1"/>
      <c r="BY1054" s="1"/>
      <c r="BZ1054" s="1"/>
      <c r="CA1054" s="1"/>
      <c r="CB1054" s="1"/>
      <c r="CC1054" s="1"/>
      <c r="CD1054" s="3"/>
      <c r="CE1054" s="3"/>
      <c r="CF1054" s="1"/>
      <c r="CG1054" s="1"/>
      <c r="CH1054" s="3"/>
      <c r="CI1054" s="3"/>
    </row>
    <row r="1055" spans="16:87">
      <c r="P1055" s="1"/>
      <c r="Q1055" s="2"/>
      <c r="R1055" s="2"/>
      <c r="S1055" s="2"/>
      <c r="T1055" s="2"/>
      <c r="U1055" s="2"/>
      <c r="V1055" s="1"/>
      <c r="W1055" s="1"/>
      <c r="X1055" s="1"/>
      <c r="Y1055" s="1"/>
      <c r="Z1055" s="1"/>
      <c r="AA1055" s="1"/>
      <c r="AB1055" s="1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1"/>
      <c r="BY1055" s="1"/>
      <c r="BZ1055" s="1"/>
      <c r="CA1055" s="1"/>
      <c r="CB1055" s="1"/>
      <c r="CC1055" s="1"/>
      <c r="CD1055" s="3"/>
      <c r="CE1055" s="3"/>
      <c r="CF1055" s="1"/>
      <c r="CG1055" s="1"/>
      <c r="CH1055" s="3"/>
      <c r="CI1055" s="3"/>
    </row>
    <row r="1056" spans="16:87">
      <c r="P1056" s="1"/>
      <c r="Q1056" s="2"/>
      <c r="R1056" s="2"/>
      <c r="S1056" s="2"/>
      <c r="T1056" s="2"/>
      <c r="U1056" s="2"/>
      <c r="V1056" s="1"/>
      <c r="W1056" s="1"/>
      <c r="X1056" s="1"/>
      <c r="Y1056" s="1"/>
      <c r="Z1056" s="1"/>
      <c r="AA1056" s="1"/>
      <c r="AB1056" s="1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1"/>
      <c r="BY1056" s="1"/>
      <c r="BZ1056" s="1"/>
      <c r="CA1056" s="1"/>
      <c r="CB1056" s="1"/>
      <c r="CC1056" s="1"/>
      <c r="CD1056" s="3"/>
      <c r="CE1056" s="3"/>
      <c r="CF1056" s="1"/>
      <c r="CG1056" s="1"/>
      <c r="CH1056" s="3"/>
      <c r="CI1056" s="3"/>
    </row>
    <row r="1057" spans="16:87">
      <c r="P1057" s="1"/>
      <c r="Q1057" s="2"/>
      <c r="R1057" s="2"/>
      <c r="S1057" s="2"/>
      <c r="T1057" s="2"/>
      <c r="U1057" s="2"/>
      <c r="V1057" s="1"/>
      <c r="W1057" s="1"/>
      <c r="X1057" s="1"/>
      <c r="Y1057" s="1"/>
      <c r="Z1057" s="1"/>
      <c r="AA1057" s="1"/>
      <c r="AB1057" s="1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1"/>
      <c r="BY1057" s="1"/>
      <c r="BZ1057" s="1"/>
      <c r="CA1057" s="1"/>
      <c r="CB1057" s="1"/>
      <c r="CC1057" s="1"/>
      <c r="CD1057" s="3"/>
      <c r="CE1057" s="3"/>
      <c r="CF1057" s="1"/>
      <c r="CG1057" s="1"/>
      <c r="CH1057" s="3"/>
      <c r="CI1057" s="3"/>
    </row>
    <row r="1058" spans="16:87">
      <c r="P1058" s="1"/>
      <c r="Q1058" s="2"/>
      <c r="R1058" s="2"/>
      <c r="S1058" s="2"/>
      <c r="T1058" s="2"/>
      <c r="U1058" s="2"/>
      <c r="V1058" s="1"/>
      <c r="W1058" s="1"/>
      <c r="X1058" s="1"/>
      <c r="Y1058" s="1"/>
      <c r="Z1058" s="1"/>
      <c r="AA1058" s="1"/>
      <c r="AB1058" s="1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1"/>
      <c r="BY1058" s="1"/>
      <c r="BZ1058" s="1"/>
      <c r="CA1058" s="1"/>
      <c r="CB1058" s="1"/>
      <c r="CC1058" s="1"/>
      <c r="CD1058" s="3"/>
      <c r="CE1058" s="3"/>
      <c r="CF1058" s="1"/>
      <c r="CG1058" s="1"/>
      <c r="CH1058" s="3"/>
      <c r="CI1058" s="3"/>
    </row>
    <row r="1059" spans="16:87">
      <c r="P1059" s="1"/>
      <c r="Q1059" s="2"/>
      <c r="R1059" s="2"/>
      <c r="S1059" s="2"/>
      <c r="T1059" s="2"/>
      <c r="U1059" s="2"/>
      <c r="V1059" s="1"/>
      <c r="W1059" s="1"/>
      <c r="X1059" s="1"/>
      <c r="Y1059" s="1"/>
      <c r="Z1059" s="1"/>
      <c r="AA1059" s="1"/>
      <c r="AB1059" s="1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1"/>
      <c r="BY1059" s="1"/>
      <c r="BZ1059" s="1"/>
      <c r="CA1059" s="1"/>
      <c r="CB1059" s="1"/>
      <c r="CC1059" s="1"/>
      <c r="CD1059" s="3"/>
      <c r="CE1059" s="3"/>
      <c r="CF1059" s="1"/>
      <c r="CG1059" s="1"/>
      <c r="CH1059" s="3"/>
      <c r="CI1059" s="3"/>
    </row>
    <row r="1060" spans="16:87">
      <c r="P1060" s="1"/>
      <c r="Q1060" s="2"/>
      <c r="R1060" s="2"/>
      <c r="S1060" s="2"/>
      <c r="T1060" s="2"/>
      <c r="U1060" s="2"/>
      <c r="V1060" s="1"/>
      <c r="W1060" s="1"/>
      <c r="X1060" s="1"/>
      <c r="Y1060" s="1"/>
      <c r="Z1060" s="1"/>
      <c r="AA1060" s="1"/>
      <c r="AB1060" s="1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1"/>
      <c r="BY1060" s="1"/>
      <c r="BZ1060" s="1"/>
      <c r="CA1060" s="1"/>
      <c r="CB1060" s="1"/>
      <c r="CC1060" s="1"/>
      <c r="CD1060" s="3"/>
      <c r="CE1060" s="3"/>
      <c r="CF1060" s="1"/>
      <c r="CG1060" s="1"/>
      <c r="CH1060" s="3"/>
      <c r="CI1060" s="3"/>
    </row>
    <row r="1061" spans="16:87">
      <c r="P1061" s="1"/>
      <c r="Q1061" s="2"/>
      <c r="R1061" s="2"/>
      <c r="S1061" s="2"/>
      <c r="T1061" s="2"/>
      <c r="U1061" s="2"/>
      <c r="V1061" s="1"/>
      <c r="W1061" s="1"/>
      <c r="X1061" s="1"/>
      <c r="Y1061" s="1"/>
      <c r="Z1061" s="1"/>
      <c r="AA1061" s="1"/>
      <c r="AB1061" s="1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1"/>
      <c r="BY1061" s="1"/>
      <c r="BZ1061" s="1"/>
      <c r="CA1061" s="1"/>
      <c r="CB1061" s="1"/>
      <c r="CC1061" s="1"/>
      <c r="CD1061" s="3"/>
      <c r="CE1061" s="3"/>
      <c r="CF1061" s="1"/>
      <c r="CG1061" s="1"/>
      <c r="CH1061" s="3"/>
      <c r="CI1061" s="3"/>
    </row>
    <row r="1062" spans="16:87">
      <c r="P1062" s="1"/>
      <c r="Q1062" s="2"/>
      <c r="R1062" s="2"/>
      <c r="S1062" s="2"/>
      <c r="T1062" s="2"/>
      <c r="U1062" s="2"/>
      <c r="V1062" s="1"/>
      <c r="W1062" s="1"/>
      <c r="X1062" s="1"/>
      <c r="Y1062" s="1"/>
      <c r="Z1062" s="1"/>
      <c r="AA1062" s="1"/>
      <c r="AB1062" s="1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1"/>
      <c r="BY1062" s="1"/>
      <c r="BZ1062" s="1"/>
      <c r="CA1062" s="1"/>
      <c r="CB1062" s="1"/>
      <c r="CC1062" s="1"/>
      <c r="CD1062" s="3"/>
      <c r="CE1062" s="3"/>
      <c r="CF1062" s="1"/>
      <c r="CG1062" s="1"/>
      <c r="CH1062" s="3"/>
      <c r="CI1062" s="3"/>
    </row>
    <row r="1063" spans="16:87">
      <c r="P1063" s="1"/>
      <c r="Q1063" s="2"/>
      <c r="R1063" s="2"/>
      <c r="S1063" s="2"/>
      <c r="T1063" s="2"/>
      <c r="U1063" s="2"/>
      <c r="V1063" s="1"/>
      <c r="W1063" s="1"/>
      <c r="X1063" s="1"/>
      <c r="Y1063" s="1"/>
      <c r="Z1063" s="1"/>
      <c r="AA1063" s="1"/>
      <c r="AB1063" s="1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1"/>
      <c r="BY1063" s="1"/>
      <c r="BZ1063" s="1"/>
      <c r="CA1063" s="1"/>
      <c r="CB1063" s="1"/>
      <c r="CC1063" s="1"/>
      <c r="CD1063" s="3"/>
      <c r="CE1063" s="3"/>
      <c r="CF1063" s="1"/>
      <c r="CG1063" s="1"/>
      <c r="CH1063" s="3"/>
      <c r="CI1063" s="3"/>
    </row>
    <row r="1064" spans="16:87">
      <c r="P1064" s="1"/>
      <c r="Q1064" s="2"/>
      <c r="R1064" s="2"/>
      <c r="S1064" s="2"/>
      <c r="T1064" s="2"/>
      <c r="U1064" s="2"/>
      <c r="V1064" s="1"/>
      <c r="W1064" s="1"/>
      <c r="X1064" s="1"/>
      <c r="Y1064" s="1"/>
      <c r="Z1064" s="1"/>
      <c r="AA1064" s="1"/>
      <c r="AB1064" s="1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1"/>
      <c r="BY1064" s="1"/>
      <c r="BZ1064" s="1"/>
      <c r="CA1064" s="1"/>
      <c r="CB1064" s="1"/>
      <c r="CC1064" s="1"/>
      <c r="CD1064" s="3"/>
      <c r="CE1064" s="3"/>
      <c r="CF1064" s="1"/>
      <c r="CG1064" s="1"/>
      <c r="CH1064" s="3"/>
      <c r="CI1064" s="3"/>
    </row>
    <row r="1065" spans="16:87">
      <c r="P1065" s="1"/>
      <c r="Q1065" s="2"/>
      <c r="R1065" s="2"/>
      <c r="S1065" s="2"/>
      <c r="T1065" s="2"/>
      <c r="U1065" s="2"/>
      <c r="V1065" s="1"/>
      <c r="W1065" s="1"/>
      <c r="X1065" s="1"/>
      <c r="Y1065" s="1"/>
      <c r="Z1065" s="1"/>
      <c r="AA1065" s="1"/>
      <c r="AB1065" s="1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1"/>
      <c r="BY1065" s="1"/>
      <c r="BZ1065" s="1"/>
      <c r="CA1065" s="1"/>
      <c r="CB1065" s="1"/>
      <c r="CC1065" s="1"/>
      <c r="CD1065" s="3"/>
      <c r="CE1065" s="3"/>
      <c r="CF1065" s="1"/>
      <c r="CG1065" s="1"/>
      <c r="CH1065" s="3"/>
      <c r="CI1065" s="3"/>
    </row>
    <row r="1066" spans="16:87">
      <c r="P1066" s="1"/>
      <c r="Q1066" s="2"/>
      <c r="R1066" s="2"/>
      <c r="S1066" s="2"/>
      <c r="T1066" s="2"/>
      <c r="U1066" s="2"/>
      <c r="V1066" s="1"/>
      <c r="W1066" s="1"/>
      <c r="X1066" s="1"/>
      <c r="Y1066" s="1"/>
      <c r="Z1066" s="1"/>
      <c r="AA1066" s="1"/>
      <c r="AB1066" s="1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1"/>
      <c r="BY1066" s="1"/>
      <c r="BZ1066" s="1"/>
      <c r="CA1066" s="1"/>
      <c r="CB1066" s="1"/>
      <c r="CC1066" s="1"/>
      <c r="CD1066" s="3"/>
      <c r="CE1066" s="3"/>
      <c r="CF1066" s="1"/>
      <c r="CG1066" s="1"/>
      <c r="CH1066" s="3"/>
      <c r="CI1066" s="3"/>
    </row>
    <row r="1067" spans="16:87">
      <c r="P1067" s="1"/>
      <c r="Q1067" s="2"/>
      <c r="R1067" s="2"/>
      <c r="S1067" s="2"/>
      <c r="T1067" s="2"/>
      <c r="U1067" s="2"/>
      <c r="V1067" s="1"/>
      <c r="W1067" s="1"/>
      <c r="X1067" s="1"/>
      <c r="Y1067" s="1"/>
      <c r="Z1067" s="1"/>
      <c r="AA1067" s="1"/>
      <c r="AB1067" s="1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1"/>
      <c r="BY1067" s="1"/>
      <c r="BZ1067" s="1"/>
      <c r="CA1067" s="1"/>
      <c r="CB1067" s="1"/>
      <c r="CC1067" s="1"/>
      <c r="CD1067" s="3"/>
      <c r="CE1067" s="3"/>
      <c r="CF1067" s="1"/>
      <c r="CG1067" s="1"/>
      <c r="CH1067" s="3"/>
      <c r="CI1067" s="3"/>
    </row>
    <row r="1068" spans="16:87">
      <c r="P1068" s="1"/>
      <c r="Q1068" s="2"/>
      <c r="R1068" s="2"/>
      <c r="S1068" s="2"/>
      <c r="T1068" s="2"/>
      <c r="U1068" s="2"/>
      <c r="V1068" s="1"/>
      <c r="W1068" s="1"/>
      <c r="X1068" s="1"/>
      <c r="Y1068" s="1"/>
      <c r="Z1068" s="1"/>
      <c r="AA1068" s="1"/>
      <c r="AB1068" s="1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1"/>
      <c r="BY1068" s="1"/>
      <c r="BZ1068" s="1"/>
      <c r="CA1068" s="1"/>
      <c r="CB1068" s="1"/>
      <c r="CC1068" s="1"/>
      <c r="CD1068" s="3"/>
      <c r="CE1068" s="3"/>
      <c r="CF1068" s="1"/>
      <c r="CG1068" s="1"/>
      <c r="CH1068" s="3"/>
      <c r="CI1068" s="3"/>
    </row>
    <row r="1069" spans="16:87">
      <c r="P1069" s="1"/>
      <c r="Q1069" s="2"/>
      <c r="R1069" s="2"/>
      <c r="S1069" s="2"/>
      <c r="T1069" s="2"/>
      <c r="U1069" s="2"/>
      <c r="V1069" s="1"/>
      <c r="W1069" s="1"/>
      <c r="X1069" s="1"/>
      <c r="Y1069" s="1"/>
      <c r="Z1069" s="1"/>
      <c r="AA1069" s="1"/>
      <c r="AB1069" s="1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1"/>
      <c r="BY1069" s="1"/>
      <c r="BZ1069" s="1"/>
      <c r="CA1069" s="1"/>
      <c r="CB1069" s="1"/>
      <c r="CC1069" s="1"/>
      <c r="CD1069" s="3"/>
      <c r="CE1069" s="3"/>
      <c r="CF1069" s="1"/>
      <c r="CG1069" s="1"/>
      <c r="CH1069" s="3"/>
      <c r="CI1069" s="3"/>
    </row>
    <row r="1070" spans="16:87">
      <c r="P1070" s="1"/>
      <c r="Q1070" s="2"/>
      <c r="R1070" s="2"/>
      <c r="S1070" s="2"/>
      <c r="T1070" s="2"/>
      <c r="U1070" s="2"/>
      <c r="V1070" s="1"/>
      <c r="W1070" s="1"/>
      <c r="X1070" s="1"/>
      <c r="Y1070" s="1"/>
      <c r="Z1070" s="1"/>
      <c r="AA1070" s="1"/>
      <c r="AB1070" s="1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1"/>
      <c r="BY1070" s="1"/>
      <c r="BZ1070" s="1"/>
      <c r="CA1070" s="1"/>
      <c r="CB1070" s="1"/>
      <c r="CC1070" s="1"/>
      <c r="CD1070" s="3"/>
      <c r="CE1070" s="3"/>
      <c r="CF1070" s="1"/>
      <c r="CG1070" s="1"/>
      <c r="CH1070" s="3"/>
      <c r="CI1070" s="3"/>
    </row>
    <row r="1071" spans="16:87">
      <c r="P1071" s="1"/>
      <c r="Q1071" s="2"/>
      <c r="R1071" s="2"/>
      <c r="S1071" s="2"/>
      <c r="T1071" s="2"/>
      <c r="U1071" s="2"/>
      <c r="V1071" s="1"/>
      <c r="W1071" s="1"/>
      <c r="X1071" s="1"/>
      <c r="Y1071" s="1"/>
      <c r="Z1071" s="1"/>
      <c r="AA1071" s="1"/>
      <c r="AB1071" s="1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1"/>
      <c r="BY1071" s="1"/>
      <c r="BZ1071" s="1"/>
      <c r="CA1071" s="1"/>
      <c r="CB1071" s="1"/>
      <c r="CC1071" s="1"/>
      <c r="CD1071" s="3"/>
      <c r="CE1071" s="3"/>
      <c r="CF1071" s="1"/>
      <c r="CG1071" s="1"/>
      <c r="CH1071" s="3"/>
      <c r="CI1071" s="3"/>
    </row>
    <row r="1072" spans="16:87">
      <c r="P1072" s="1"/>
      <c r="Q1072" s="2"/>
      <c r="R1072" s="2"/>
      <c r="S1072" s="2"/>
      <c r="T1072" s="2"/>
      <c r="U1072" s="2"/>
      <c r="V1072" s="1"/>
      <c r="W1072" s="1"/>
      <c r="X1072" s="1"/>
      <c r="Y1072" s="1"/>
      <c r="Z1072" s="1"/>
      <c r="AA1072" s="1"/>
      <c r="AB1072" s="1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1"/>
      <c r="BY1072" s="1"/>
      <c r="BZ1072" s="1"/>
      <c r="CA1072" s="1"/>
      <c r="CB1072" s="1"/>
      <c r="CC1072" s="1"/>
      <c r="CD1072" s="3"/>
      <c r="CE1072" s="3"/>
      <c r="CF1072" s="1"/>
      <c r="CG1072" s="1"/>
      <c r="CH1072" s="3"/>
      <c r="CI1072" s="3"/>
    </row>
    <row r="1073" spans="16:87">
      <c r="P1073" s="1"/>
      <c r="Q1073" s="2"/>
      <c r="R1073" s="2"/>
      <c r="S1073" s="2"/>
      <c r="T1073" s="2"/>
      <c r="U1073" s="2"/>
      <c r="V1073" s="1"/>
      <c r="W1073" s="1"/>
      <c r="X1073" s="1"/>
      <c r="Y1073" s="1"/>
      <c r="Z1073" s="1"/>
      <c r="AA1073" s="1"/>
      <c r="AB1073" s="1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1"/>
      <c r="BY1073" s="1"/>
      <c r="BZ1073" s="1"/>
      <c r="CA1073" s="1"/>
      <c r="CB1073" s="1"/>
      <c r="CC1073" s="1"/>
      <c r="CD1073" s="3"/>
      <c r="CE1073" s="3"/>
      <c r="CF1073" s="1"/>
      <c r="CG1073" s="1"/>
      <c r="CH1073" s="3"/>
      <c r="CI1073" s="3"/>
    </row>
    <row r="1074" spans="16:87">
      <c r="P1074" s="1"/>
      <c r="Q1074" s="2"/>
      <c r="R1074" s="2"/>
      <c r="S1074" s="2"/>
      <c r="T1074" s="2"/>
      <c r="U1074" s="2"/>
      <c r="V1074" s="1"/>
      <c r="W1074" s="1"/>
      <c r="X1074" s="1"/>
      <c r="Y1074" s="1"/>
      <c r="Z1074" s="1"/>
      <c r="AA1074" s="1"/>
      <c r="AB1074" s="1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1"/>
      <c r="BY1074" s="1"/>
      <c r="BZ1074" s="1"/>
      <c r="CA1074" s="1"/>
      <c r="CB1074" s="1"/>
      <c r="CC1074" s="1"/>
      <c r="CD1074" s="3"/>
      <c r="CE1074" s="3"/>
      <c r="CF1074" s="1"/>
      <c r="CG1074" s="1"/>
      <c r="CH1074" s="3"/>
      <c r="CI1074" s="3"/>
    </row>
    <row r="1075" spans="16:87">
      <c r="P1075" s="1"/>
      <c r="Q1075" s="2"/>
      <c r="R1075" s="2"/>
      <c r="S1075" s="2"/>
      <c r="T1075" s="2"/>
      <c r="U1075" s="2"/>
      <c r="V1075" s="1"/>
      <c r="W1075" s="1"/>
      <c r="X1075" s="1"/>
      <c r="Y1075" s="1"/>
      <c r="Z1075" s="1"/>
      <c r="AA1075" s="1"/>
      <c r="AB1075" s="1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1"/>
      <c r="BY1075" s="1"/>
      <c r="BZ1075" s="1"/>
      <c r="CA1075" s="1"/>
      <c r="CB1075" s="1"/>
      <c r="CC1075" s="1"/>
      <c r="CD1075" s="3"/>
      <c r="CE1075" s="3"/>
      <c r="CF1075" s="1"/>
      <c r="CG1075" s="1"/>
      <c r="CH1075" s="3"/>
      <c r="CI1075" s="3"/>
    </row>
    <row r="1076" spans="16:87">
      <c r="P1076" s="1"/>
      <c r="Q1076" s="2"/>
      <c r="R1076" s="2"/>
      <c r="S1076" s="2"/>
      <c r="T1076" s="2"/>
      <c r="U1076" s="2"/>
      <c r="V1076" s="1"/>
      <c r="W1076" s="1"/>
      <c r="X1076" s="1"/>
      <c r="Y1076" s="1"/>
      <c r="Z1076" s="1"/>
      <c r="AA1076" s="1"/>
      <c r="AB1076" s="1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1"/>
      <c r="BY1076" s="1"/>
      <c r="BZ1076" s="1"/>
      <c r="CA1076" s="1"/>
      <c r="CB1076" s="1"/>
      <c r="CC1076" s="1"/>
      <c r="CD1076" s="3"/>
      <c r="CE1076" s="3"/>
      <c r="CF1076" s="1"/>
      <c r="CG1076" s="1"/>
      <c r="CH1076" s="3"/>
      <c r="CI1076" s="3"/>
    </row>
    <row r="1077" spans="16:87">
      <c r="P1077" s="1"/>
      <c r="Q1077" s="2"/>
      <c r="R1077" s="2"/>
      <c r="S1077" s="2"/>
      <c r="T1077" s="2"/>
      <c r="U1077" s="2"/>
      <c r="V1077" s="1"/>
      <c r="W1077" s="1"/>
      <c r="X1077" s="1"/>
      <c r="Y1077" s="1"/>
      <c r="Z1077" s="1"/>
      <c r="AA1077" s="1"/>
      <c r="AB1077" s="1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1"/>
      <c r="BY1077" s="1"/>
      <c r="BZ1077" s="1"/>
      <c r="CA1077" s="1"/>
      <c r="CB1077" s="1"/>
      <c r="CC1077" s="1"/>
      <c r="CD1077" s="3"/>
      <c r="CE1077" s="3"/>
      <c r="CF1077" s="1"/>
      <c r="CG1077" s="1"/>
      <c r="CH1077" s="3"/>
      <c r="CI1077" s="3"/>
    </row>
    <row r="1078" spans="16:87">
      <c r="P1078" s="1"/>
      <c r="Q1078" s="2"/>
      <c r="R1078" s="2"/>
      <c r="S1078" s="2"/>
      <c r="T1078" s="2"/>
      <c r="U1078" s="2"/>
      <c r="V1078" s="1"/>
      <c r="W1078" s="1"/>
      <c r="X1078" s="1"/>
      <c r="Y1078" s="1"/>
      <c r="Z1078" s="1"/>
      <c r="AA1078" s="1"/>
      <c r="AB1078" s="1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1"/>
      <c r="BY1078" s="1"/>
      <c r="BZ1078" s="1"/>
      <c r="CA1078" s="1"/>
      <c r="CB1078" s="1"/>
      <c r="CC1078" s="1"/>
      <c r="CD1078" s="3"/>
      <c r="CE1078" s="3"/>
      <c r="CF1078" s="1"/>
      <c r="CG1078" s="1"/>
      <c r="CH1078" s="3"/>
      <c r="CI1078" s="3"/>
    </row>
    <row r="1079" spans="16:87">
      <c r="P1079" s="1"/>
      <c r="Q1079" s="2"/>
      <c r="R1079" s="2"/>
      <c r="S1079" s="2"/>
      <c r="T1079" s="2"/>
      <c r="U1079" s="2"/>
      <c r="V1079" s="1"/>
      <c r="W1079" s="1"/>
      <c r="X1079" s="1"/>
      <c r="Y1079" s="1"/>
      <c r="Z1079" s="1"/>
      <c r="AA1079" s="1"/>
      <c r="AB1079" s="1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1"/>
      <c r="BY1079" s="1"/>
      <c r="BZ1079" s="1"/>
      <c r="CA1079" s="1"/>
      <c r="CB1079" s="1"/>
      <c r="CC1079" s="1"/>
      <c r="CD1079" s="3"/>
      <c r="CE1079" s="3"/>
      <c r="CF1079" s="1"/>
      <c r="CG1079" s="1"/>
      <c r="CH1079" s="3"/>
      <c r="CI1079" s="3"/>
    </row>
    <row r="1080" spans="16:87">
      <c r="P1080" s="1"/>
      <c r="Q1080" s="2"/>
      <c r="R1080" s="2"/>
      <c r="S1080" s="2"/>
      <c r="T1080" s="2"/>
      <c r="U1080" s="2"/>
      <c r="V1080" s="1"/>
      <c r="W1080" s="1"/>
      <c r="X1080" s="1"/>
      <c r="Y1080" s="1"/>
      <c r="Z1080" s="1"/>
      <c r="AA1080" s="1"/>
      <c r="AB1080" s="1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1"/>
      <c r="BY1080" s="1"/>
      <c r="BZ1080" s="1"/>
      <c r="CA1080" s="1"/>
      <c r="CB1080" s="1"/>
      <c r="CC1080" s="1"/>
      <c r="CD1080" s="3"/>
      <c r="CE1080" s="3"/>
      <c r="CF1080" s="1"/>
      <c r="CG1080" s="1"/>
      <c r="CH1080" s="3"/>
      <c r="CI1080" s="3"/>
    </row>
    <row r="1081" spans="16:87">
      <c r="P1081" s="1"/>
      <c r="Q1081" s="2"/>
      <c r="R1081" s="2"/>
      <c r="S1081" s="2"/>
      <c r="T1081" s="2"/>
      <c r="U1081" s="2"/>
      <c r="V1081" s="1"/>
      <c r="W1081" s="1"/>
      <c r="X1081" s="1"/>
      <c r="Y1081" s="1"/>
      <c r="Z1081" s="1"/>
      <c r="AA1081" s="1"/>
      <c r="AB1081" s="1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1"/>
      <c r="BY1081" s="1"/>
      <c r="BZ1081" s="1"/>
      <c r="CA1081" s="1"/>
      <c r="CB1081" s="1"/>
      <c r="CC1081" s="1"/>
      <c r="CD1081" s="3"/>
      <c r="CE1081" s="3"/>
      <c r="CF1081" s="1"/>
      <c r="CG1081" s="1"/>
      <c r="CH1081" s="3"/>
      <c r="CI1081" s="3"/>
    </row>
    <row r="1082" spans="16:87">
      <c r="P1082" s="1"/>
      <c r="Q1082" s="2"/>
      <c r="R1082" s="2"/>
      <c r="S1082" s="2"/>
      <c r="T1082" s="2"/>
      <c r="U1082" s="2"/>
      <c r="V1082" s="1"/>
      <c r="W1082" s="1"/>
      <c r="X1082" s="1"/>
      <c r="Y1082" s="1"/>
      <c r="Z1082" s="1"/>
      <c r="AA1082" s="1"/>
      <c r="AB1082" s="1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1"/>
      <c r="BY1082" s="1"/>
      <c r="BZ1082" s="1"/>
      <c r="CA1082" s="1"/>
      <c r="CB1082" s="1"/>
      <c r="CC1082" s="1"/>
      <c r="CD1082" s="3"/>
      <c r="CE1082" s="3"/>
      <c r="CF1082" s="1"/>
      <c r="CG1082" s="1"/>
      <c r="CH1082" s="3"/>
      <c r="CI1082" s="3"/>
    </row>
    <row r="1083" spans="16:87">
      <c r="P1083" s="1"/>
      <c r="Q1083" s="2"/>
      <c r="R1083" s="2"/>
      <c r="S1083" s="2"/>
      <c r="T1083" s="2"/>
      <c r="U1083" s="2"/>
      <c r="V1083" s="1"/>
      <c r="W1083" s="1"/>
      <c r="X1083" s="1"/>
      <c r="Y1083" s="1"/>
      <c r="Z1083" s="1"/>
      <c r="AA1083" s="1"/>
      <c r="AB1083" s="1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1"/>
      <c r="BY1083" s="1"/>
      <c r="BZ1083" s="1"/>
      <c r="CA1083" s="1"/>
      <c r="CB1083" s="1"/>
      <c r="CC1083" s="1"/>
      <c r="CD1083" s="3"/>
      <c r="CE1083" s="3"/>
      <c r="CF1083" s="1"/>
      <c r="CG1083" s="1"/>
      <c r="CH1083" s="3"/>
      <c r="CI1083" s="3"/>
    </row>
    <row r="1084" spans="16:87">
      <c r="P1084" s="1"/>
      <c r="Q1084" s="2"/>
      <c r="R1084" s="2"/>
      <c r="S1084" s="2"/>
      <c r="T1084" s="2"/>
      <c r="U1084" s="2"/>
      <c r="V1084" s="1"/>
      <c r="W1084" s="1"/>
      <c r="X1084" s="1"/>
      <c r="Y1084" s="1"/>
      <c r="Z1084" s="1"/>
      <c r="AA1084" s="1"/>
      <c r="AB1084" s="1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1"/>
      <c r="BY1084" s="1"/>
      <c r="BZ1084" s="1"/>
      <c r="CA1084" s="1"/>
      <c r="CB1084" s="1"/>
      <c r="CC1084" s="1"/>
      <c r="CD1084" s="3"/>
      <c r="CE1084" s="3"/>
      <c r="CF1084" s="1"/>
      <c r="CG1084" s="1"/>
      <c r="CH1084" s="3"/>
      <c r="CI1084" s="3"/>
    </row>
    <row r="1085" spans="16:87">
      <c r="P1085" s="1"/>
      <c r="Q1085" s="2"/>
      <c r="R1085" s="2"/>
      <c r="S1085" s="2"/>
      <c r="T1085" s="2"/>
      <c r="U1085" s="2"/>
      <c r="V1085" s="1"/>
      <c r="W1085" s="1"/>
      <c r="X1085" s="1"/>
      <c r="Y1085" s="1"/>
      <c r="Z1085" s="1"/>
      <c r="AA1085" s="1"/>
      <c r="AB1085" s="1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1"/>
      <c r="BY1085" s="1"/>
      <c r="BZ1085" s="1"/>
      <c r="CA1085" s="1"/>
      <c r="CB1085" s="1"/>
      <c r="CC1085" s="1"/>
      <c r="CD1085" s="3"/>
      <c r="CE1085" s="3"/>
      <c r="CF1085" s="1"/>
      <c r="CG1085" s="1"/>
      <c r="CH1085" s="3"/>
      <c r="CI1085" s="3"/>
    </row>
    <row r="1086" spans="16:87">
      <c r="P1086" s="1"/>
      <c r="Q1086" s="2"/>
      <c r="R1086" s="2"/>
      <c r="S1086" s="2"/>
      <c r="T1086" s="2"/>
      <c r="U1086" s="2"/>
      <c r="V1086" s="1"/>
      <c r="W1086" s="1"/>
      <c r="X1086" s="1"/>
      <c r="Y1086" s="1"/>
      <c r="Z1086" s="1"/>
      <c r="AA1086" s="1"/>
      <c r="AB1086" s="1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1"/>
      <c r="BY1086" s="1"/>
      <c r="BZ1086" s="1"/>
      <c r="CA1086" s="1"/>
      <c r="CB1086" s="1"/>
      <c r="CC1086" s="1"/>
      <c r="CD1086" s="3"/>
      <c r="CE1086" s="3"/>
      <c r="CF1086" s="1"/>
      <c r="CG1086" s="1"/>
      <c r="CH1086" s="3"/>
      <c r="CI1086" s="3"/>
    </row>
    <row r="1087" spans="16:87">
      <c r="P1087" s="1"/>
      <c r="Q1087" s="2"/>
      <c r="R1087" s="2"/>
      <c r="S1087" s="2"/>
      <c r="T1087" s="2"/>
      <c r="U1087" s="2"/>
      <c r="V1087" s="1"/>
      <c r="W1087" s="1"/>
      <c r="X1087" s="1"/>
      <c r="Y1087" s="1"/>
      <c r="Z1087" s="1"/>
      <c r="AA1087" s="1"/>
      <c r="AB1087" s="1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1"/>
      <c r="BY1087" s="1"/>
      <c r="BZ1087" s="1"/>
      <c r="CA1087" s="1"/>
      <c r="CB1087" s="1"/>
      <c r="CC1087" s="1"/>
      <c r="CD1087" s="3"/>
      <c r="CE1087" s="3"/>
      <c r="CF1087" s="1"/>
      <c r="CG1087" s="1"/>
      <c r="CH1087" s="3"/>
      <c r="CI1087" s="3"/>
    </row>
  </sheetData>
  <customSheetViews>
    <customSheetView guid="{616206E2-999C-4AE1-99F3-EE35B54176B3}" showRuler="0">
      <selection activeCell="B6" sqref="B6:E6"/>
      <pageMargins left="0.75" right="0.75" top="1" bottom="1" header="0.5" footer="0.5"/>
      <printOptions gridLines="1"/>
      <pageSetup paperSize="9" orientation="portrait" horizontalDpi="300" verticalDpi="300" r:id="rId1"/>
      <headerFooter alignWithMargins="0">
        <oddHeader>&amp;A</oddHeader>
        <oddFooter>&amp;LEVECO AB
Lilla Marieholmsgatan 4
415 02 GÖTEBORG
Tel.031-840850
Fax.031-849227
sales@eveco.se&amp;RCopyright EVECO AB 2000</oddFooter>
      </headerFooter>
    </customSheetView>
    <customSheetView guid="{2741D09E-1555-4F14-A84E-F0684F5AEE30}" showRuler="0">
      <selection activeCell="B5" sqref="B5:E5"/>
      <pageMargins left="0.75" right="0.75" top="1" bottom="1" header="0.5" footer="0.5"/>
      <printOptions gridLines="1"/>
      <pageSetup paperSize="9" orientation="portrait" horizontalDpi="300" verticalDpi="300" r:id="rId2"/>
      <headerFooter alignWithMargins="0">
        <oddHeader>&amp;A</oddHeader>
        <oddFooter>&amp;LEVECO AB
Lilla Marieholmsgatan 4
415 02 GÖTEBORG
Tel.031-840850
Fax.031-849227
sales@eveco.se&amp;RCopyright EVECO AB 2000</oddFooter>
      </headerFooter>
    </customSheetView>
  </customSheetViews>
  <mergeCells count="6">
    <mergeCell ref="BT94:CC94"/>
    <mergeCell ref="D5:G5"/>
    <mergeCell ref="D6:G6"/>
    <mergeCell ref="AF94:AO94"/>
    <mergeCell ref="AZ94:BI94"/>
    <mergeCell ref="BJ94:BS94"/>
  </mergeCells>
  <phoneticPr fontId="0" type="noConversion"/>
  <printOptions gridLines="1" gridLinesSet="0"/>
  <pageMargins left="0.56000000000000005" right="0.42" top="0.76" bottom="1" header="0.5" footer="0.5"/>
  <pageSetup paperSize="9" scale="86" orientation="portrait" horizontalDpi="300" verticalDpi="300" r:id="rId3"/>
  <headerFooter alignWithMargins="0">
    <oddHeader>&amp;A</oddHeader>
    <oddFooter>&amp;L
&amp;CEVECO AB  Traneredsvägen 112  
426 53  VÄSTRA FRÖLUNDA
Tel.031-840850  Fax.031-849227&amp;RCopyright EVECO AB 2000-2007</oddFooter>
  </headerFooter>
  <colBreaks count="1" manualBreakCount="1">
    <brk id="7" max="43" man="1"/>
  </colBreaks>
  <cellWatches>
    <cellWatch r="G13"/>
  </cellWatch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96" r:id="rId6" name="Drop Down 37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3</xdr:col>
                    <xdr:colOff>1190625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Luftvärmare</vt:lpstr>
      <vt:lpstr>Luftvärmare!Utskriftsområde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Beräkningsprogram för fläktluftvärmare</dc:title>
  <dc:subject>Beräkningsprogram för fläktluftvärmare</dc:subject>
  <dc:creator>Ola Lindstrand</dc:creator>
  <cp:lastModifiedBy>Ola Lindstrand</cp:lastModifiedBy>
  <cp:lastPrinted>2015-02-13T15:46:51Z</cp:lastPrinted>
  <dcterms:created xsi:type="dcterms:W3CDTF">2000-03-15T15:22:39Z</dcterms:created>
  <dcterms:modified xsi:type="dcterms:W3CDTF">2023-04-04T07:07:14Z</dcterms:modified>
</cp:coreProperties>
</file>